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ula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</sheets>
  <definedNames>
    <definedName name="_xlnm.Print_Area" localSheetId="11">'11.tabula'!$A$1:$E$58</definedName>
    <definedName name="_xlnm.Print_Area" localSheetId="12">'12.tabula'!$A$1:$F$47</definedName>
    <definedName name="_xlnm.Print_Area" localSheetId="13">'13.tabula'!$A$1:$E$48</definedName>
    <definedName name="_xlnm.Print_Area" localSheetId="14">'14.tabula'!$A$1:$E$33</definedName>
    <definedName name="_xlnm.Print_Area" localSheetId="15">'15.tabula'!$A$1:$E$49</definedName>
    <definedName name="_xlnm.Print_Titles" localSheetId="10">'10.tabula'!$5:$7</definedName>
    <definedName name="_xlnm.Print_Titles" localSheetId="16">'16.tabula'!$8:$11</definedName>
    <definedName name="_xlnm.Print_Titles" localSheetId="17">'17.tabula'!$8:$11</definedName>
    <definedName name="_xlnm.Print_Titles" localSheetId="19">'19.tabula'!$8:$10</definedName>
  </definedNames>
  <calcPr fullCalcOnLoad="1"/>
</workbook>
</file>

<file path=xl/sharedStrings.xml><?xml version="1.0" encoding="utf-8"?>
<sst xmlns="http://schemas.openxmlformats.org/spreadsheetml/2006/main" count="2399" uniqueCount="729">
  <si>
    <t>Valsts kases oficiālais mēneša pārskats par valsts kopbudžeta izpildi                             ( 1999.gada janvāris - oktobris 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</si>
  <si>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</si>
  <si>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</si>
  <si>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</si>
  <si>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</si>
  <si>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</si>
  <si>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Oktobra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</si>
  <si>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</si>
  <si>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</si>
  <si>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</si>
  <si>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</si>
  <si>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</si>
  <si>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</si>
  <si>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</si>
  <si>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</si>
  <si>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</si>
  <si>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</si>
  <si>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</si>
  <si>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</si>
  <si>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</si>
  <si>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</si>
  <si>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</si>
  <si>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</si>
  <si>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</si>
  <si>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</si>
  <si>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</si>
  <si>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</si>
  <si>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</si>
  <si>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</si>
  <si>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</si>
  <si>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</si>
  <si>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</si>
  <si>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</si>
  <si>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</si>
  <si>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</si>
  <si>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</si>
  <si>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</si>
  <si>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</si>
  <si>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</si>
  <si>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</si>
  <si>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</si>
  <si>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</si>
  <si>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</si>
  <si>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kase/Pārskatu departaments</t>
  </si>
  <si>
    <t>1999.gada 15.novembrī.</t>
  </si>
  <si>
    <t>1.tabula</t>
  </si>
  <si>
    <t xml:space="preserve"> Valsts kases oficiālais mēneša pārskats</t>
  </si>
  <si>
    <t>Valsts konsolidētā budžeta izpilde (1999.gada janvāris - oktobris)</t>
  </si>
  <si>
    <t>(tūkst. latu)</t>
  </si>
  <si>
    <t>Likumā apstiprinātais gada plāns</t>
  </si>
  <si>
    <t>Izpilde no gada sākuma</t>
  </si>
  <si>
    <t>Izpilde  % pret gada plānu         (3/2)</t>
  </si>
  <si>
    <t xml:space="preserve">Oktobra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</si>
  <si>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</si>
  <si>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</si>
  <si>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</si>
  <si>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</si>
  <si>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</si>
  <si>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</si>
  <si>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</si>
  <si>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</si>
  <si>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</si>
  <si>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</si>
  <si>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</si>
  <si>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</si>
  <si>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</si>
  <si>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</si>
  <si>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</si>
  <si>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</si>
  <si>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</si>
  <si>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</si>
  <si>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</si>
  <si>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</si>
  <si>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</si>
  <si>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</si>
  <si>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</si>
  <si>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</si>
  <si>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</si>
  <si>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</si>
  <si>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</si>
  <si>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</si>
  <si>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</si>
  <si>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</si>
  <si>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</si>
  <si>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</si>
  <si>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</si>
  <si>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</si>
  <si>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</si>
  <si>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</si>
  <si>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</si>
  <si>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</si>
  <si>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</si>
  <si>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</si>
  <si>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</si>
  <si>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</si>
  <si>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</si>
  <si>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</si>
  <si>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</si>
  <si>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</si>
  <si>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</si>
  <si>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</si>
  <si>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</si>
  <si>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</si>
  <si>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</si>
  <si>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</si>
  <si>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</si>
  <si>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</si>
  <si>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B.4. Valsts pamatbudžeta tīrie aizdevumi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</si>
  <si>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</si>
  <si>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</si>
  <si>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</si>
  <si>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</si>
  <si>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</si>
  <si>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</si>
  <si>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</si>
  <si>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</si>
  <si>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</si>
  <si>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</si>
  <si>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</si>
  <si>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</si>
  <si>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</si>
  <si>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</si>
  <si>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</si>
  <si>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</si>
  <si>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</si>
  <si>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</si>
  <si>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</si>
  <si>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</si>
  <si>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</si>
  <si>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</si>
  <si>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</si>
  <si>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</si>
  <si>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</si>
  <si>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</si>
  <si>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</si>
  <si>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15.oktobris</t>
  </si>
  <si>
    <t>1999.gada 15.novembris</t>
  </si>
  <si>
    <t>2.tabula</t>
  </si>
  <si>
    <t>Valsts kases oficiālais mēneša pārskats</t>
  </si>
  <si>
    <t>Valsts pamatbudžeta ieņēmumi (1999.gada janvāris - oktobris)</t>
  </si>
  <si>
    <t>(tūkst.latu)</t>
  </si>
  <si>
    <t>Gada sagaidāmā izpilde %</t>
  </si>
  <si>
    <t>Izpilde % pret gada plānu            (4/2)</t>
  </si>
  <si>
    <t>Oktobra  izpilde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</si>
  <si>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</si>
  <si>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</si>
  <si>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</si>
  <si>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</si>
  <si>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</si>
  <si>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</si>
  <si>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</si>
  <si>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</si>
  <si>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</si>
  <si>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</si>
  <si>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</si>
  <si>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</si>
  <si>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</si>
  <si>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</si>
  <si>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</si>
  <si>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</si>
  <si>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</si>
  <si>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</si>
  <si>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</si>
  <si>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</si>
  <si>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</si>
  <si>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</si>
  <si>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</si>
  <si>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</si>
  <si>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</si>
  <si>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</si>
  <si>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</si>
  <si>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</si>
  <si>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 1 907 645 latu</t>
  </si>
  <si>
    <t>* - ieskaitot nesadalītās sociālās apdrošināšanas iemaksas -  1 908 tūkst .latu</t>
  </si>
  <si>
    <t>** - ieskaitot procentus par valsts depozītu -    3 008 566 latu</t>
  </si>
  <si>
    <t>** - ieskaitot procentus par valsts depozītu -    3 009 tūkst. latu</t>
  </si>
  <si>
    <t>Valsts kases pārvaldnieks________________________________________(A.Veiss)</t>
  </si>
  <si>
    <t xml:space="preserve">Valsts kases oficiālais mēneša pārskats </t>
  </si>
  <si>
    <t>3.tabula</t>
  </si>
  <si>
    <t>Valsts pamatbudżeta izdevumi pa ministrijām un pasākumiem</t>
  </si>
  <si>
    <t>(1999.gada janvāris - oktobris)</t>
  </si>
  <si>
    <t xml:space="preserve">Finansēšanas plāns pārskata periodam </t>
  </si>
  <si>
    <t>Izpilde % pret gada plānu (4/2)</t>
  </si>
  <si>
    <t>Izpilde % pret finansēša-nas plānu pārskata periodam 
  (4/3)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</si>
  <si>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</si>
  <si>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</si>
  <si>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</si>
  <si>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</si>
  <si>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</si>
  <si>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</si>
  <si>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</si>
  <si>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</si>
  <si>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</si>
  <si>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</si>
  <si>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</si>
  <si>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</si>
  <si>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</si>
  <si>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</si>
  <si>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</si>
  <si>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</si>
  <si>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Augusta   izpilde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</si>
  <si>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</si>
  <si>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</si>
  <si>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</si>
  <si>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</si>
  <si>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</si>
  <si>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</si>
  <si>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</si>
  <si>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</si>
  <si>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</si>
  <si>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</si>
  <si>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</si>
  <si>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</si>
  <si>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</si>
  <si>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</si>
  <si>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</si>
  <si>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</si>
  <si>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</si>
  <si>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</si>
  <si>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4.tabula</t>
  </si>
  <si>
    <t xml:space="preserve">           Valsts kases oficiālais mēneša pārskats</t>
  </si>
  <si>
    <t xml:space="preserve">Valsts pamatbudžeta ieņēmumu un izdevumu atšifrējums </t>
  </si>
  <si>
    <t>pēc ekonomiskās klasifikācijas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</si>
  <si>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</si>
  <si>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</si>
  <si>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</si>
  <si>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</si>
  <si>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</si>
  <si>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</si>
  <si>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</si>
  <si>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</si>
  <si>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</si>
  <si>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</si>
  <si>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</si>
  <si>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</si>
  <si>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</si>
  <si>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 xml:space="preserve">     t.sk.          preču un pakalpojumu izdevumi</t>
  </si>
  <si>
    <t xml:space="preserve">     t.sk.         preču un pakalpojumu izdevumi</t>
  </si>
  <si>
    <t xml:space="preserve"> pārējie izdevumi</t>
  </si>
  <si>
    <t xml:space="preserve">                        pārējie izdevumi</t>
  </si>
  <si>
    <t xml:space="preserve">   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</si>
  <si>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</si>
  <si>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</si>
  <si>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</si>
  <si>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</si>
  <si>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</si>
  <si>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</si>
  <si>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</si>
  <si>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</si>
  <si>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</si>
  <si>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</si>
  <si>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</si>
  <si>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</si>
  <si>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</si>
  <si>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dotācijas iedzīvotājiem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</si>
  <si>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</si>
  <si>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</si>
  <si>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</si>
  <si>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</si>
  <si>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</si>
  <si>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</si>
  <si>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</si>
  <si>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</si>
  <si>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</si>
  <si>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</si>
  <si>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</si>
  <si>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</si>
  <si>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3. Valsts budžeta tīrie aizdevumi (3.1.-3.2.)</t>
  </si>
  <si>
    <t>3.1.Valsts budžeta aizdevumi</t>
  </si>
  <si>
    <t>3.2.Valsts budžeta aizdevumu atmaksas</t>
  </si>
  <si>
    <t>Fiskālā bilance (1.-2.-3.)</t>
  </si>
  <si>
    <t>Valsts kases pārvaldnieks _______________________________________ (AVeiss)</t>
  </si>
  <si>
    <t>Valsts kases pārvaldnieks _______________________________________ (A.Veiss)</t>
  </si>
  <si>
    <t>5.tabula</t>
  </si>
  <si>
    <t xml:space="preserve">Valsts speciālā budžeta ieņēmumi un izdevumi pa ministrijām </t>
  </si>
  <si>
    <t>(1999.gada  janvāris - oktobris)</t>
  </si>
  <si>
    <t xml:space="preserve"> (tūkst.latu)</t>
  </si>
  <si>
    <t>Izpilde % pret gada plānu 
   (4/2)</t>
  </si>
  <si>
    <t>Finansēšanas plāns</t>
  </si>
  <si>
    <t xml:space="preserve">Ieņēmumi - kopā </t>
  </si>
  <si>
    <t>Izdevumi - kopā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</si>
  <si>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</si>
  <si>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</si>
  <si>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</si>
  <si>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</si>
  <si>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</si>
  <si>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</si>
  <si>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</si>
  <si>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</si>
  <si>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</si>
  <si>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</si>
  <si>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</si>
  <si>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</si>
  <si>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</si>
  <si>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</si>
  <si>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</si>
  <si>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</si>
  <si>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</si>
  <si>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</si>
  <si>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</si>
  <si>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</si>
  <si>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</si>
  <si>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</si>
  <si>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</si>
  <si>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</si>
  <si>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 xml:space="preserve"> Zivju fonds</t>
  </si>
  <si>
    <t xml:space="preserve">   Maksa par rūpnieciskās zvejas tiesību nomu un izmantošanu</t>
  </si>
  <si>
    <t>Pārējie maksājumi</t>
  </si>
  <si>
    <t>Meżsaimniecības attīstības fonds</t>
  </si>
  <si>
    <t xml:space="preserve">   Ieņēmumi no meža resursu realizācijas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</si>
  <si>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</si>
  <si>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</si>
  <si>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</si>
  <si>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   Izdevumi kapitālieguldļjumiem</t>
  </si>
  <si>
    <t xml:space="preserve"> Dzelzceļa infrastruktūras fonds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</si>
  <si>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</si>
  <si>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</si>
  <si>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</si>
  <si>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</si>
  <si>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</si>
  <si>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</si>
  <si>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</si>
  <si>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</si>
  <si>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</si>
  <si>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</si>
  <si>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</si>
  <si>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</si>
  <si>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</si>
  <si>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</si>
  <si>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</si>
  <si>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</si>
  <si>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</si>
  <si>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</si>
  <si>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</si>
  <si>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</si>
  <si>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</si>
  <si>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</si>
  <si>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</si>
  <si>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izložu un azartspēļu nodevas un nodokļa maksājumiem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</si>
  <si>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</si>
  <si>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</si>
  <si>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</si>
  <si>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</si>
  <si>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</si>
  <si>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</si>
  <si>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</si>
  <si>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Valsts speciālā budžeta ieņēmumu un izdevumu atšifrējums 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</si>
  <si>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</si>
  <si>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</si>
  <si>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</si>
  <si>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</si>
  <si>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</si>
  <si>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t.sk. preču un pakalpojumu izdevumi</t>
  </si>
  <si>
    <t>iemaksas valsts pamatbudžetā</t>
  </si>
  <si>
    <t>izdevumi saskaņā ar likumu "Par valsts un pašvaldību īpašuma privatizācijas fondiem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</si>
  <si>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</si>
  <si>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</si>
  <si>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</si>
  <si>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</si>
  <si>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</si>
  <si>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</si>
  <si>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</si>
  <si>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</si>
  <si>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</si>
  <si>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</si>
  <si>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Marta izpilde</t>
  </si>
  <si>
    <t>3.Valsts budžeta tīrie aizdevumi (3.1.-3.2.)</t>
  </si>
  <si>
    <t>Finansēšana</t>
  </si>
  <si>
    <t>Valsts speciālā budžeta naudas līdzekļu atlikumu izmaiņas palielinājums (-) vai samazinājums (+)</t>
  </si>
  <si>
    <t>7.tabula</t>
  </si>
  <si>
    <t>Valsts speciālā budžeta (dāvinājumi un ziedojumi) ieņēmumi un izdevumi</t>
  </si>
  <si>
    <t xml:space="preserve">                                                       (1999.gada janvāris - oktobris)</t>
  </si>
  <si>
    <t>Izpilde % pret finansēšanas plānu  (3/2)</t>
  </si>
  <si>
    <t>Finansēšanas plāns pārskata periodam *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</si>
  <si>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</si>
  <si>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</si>
  <si>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</si>
  <si>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</si>
  <si>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</si>
  <si>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</si>
  <si>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</si>
  <si>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</si>
  <si>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</si>
  <si>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</si>
  <si>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</si>
  <si>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</si>
  <si>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>* - nav informācijas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</si>
  <si>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</si>
  <si>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</si>
  <si>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</si>
  <si>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</si>
  <si>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                            ( 1999.gada janvāris- oktobris)</t>
  </si>
  <si>
    <t>Valsts pamatbudžeta izdevumi pēc valdības funkcijām</t>
  </si>
  <si>
    <t>( 1999.gada janvāris- oktobris)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</si>
  <si>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</si>
  <si>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</si>
  <si>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</si>
  <si>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</si>
  <si>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</si>
  <si>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</si>
  <si>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</si>
  <si>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</si>
  <si>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</si>
  <si>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</si>
  <si>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</si>
  <si>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</si>
  <si>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</si>
  <si>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</si>
  <si>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</si>
  <si>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</si>
  <si>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</si>
  <si>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</si>
  <si>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</si>
  <si>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</si>
  <si>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pārvaldnieks________________________________</t>
  </si>
  <si>
    <t>(A.Veiss)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</si>
  <si>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</si>
  <si>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</si>
  <si>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</si>
  <si>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</si>
  <si>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</si>
  <si>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(1999.gada janvāris - oktobris)</t>
  </si>
  <si>
    <t>Izdevumi no ziedojumiem un dāvinājumiem</t>
  </si>
  <si>
    <t>Izglītība       *</t>
  </si>
  <si>
    <t>Izglītība   *</t>
  </si>
  <si>
    <t>* -  ieskaitot  tīros  aizdevumus</t>
  </si>
  <si>
    <t>Valsts kases pārvaldnieks_________________________________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</si>
  <si>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</si>
  <si>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</si>
  <si>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</si>
  <si>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</si>
  <si>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 xml:space="preserve">( 1999. gada janvāris - oktobris ) </t>
  </si>
  <si>
    <t>Gada plāns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</si>
  <si>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</si>
  <si>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</si>
  <si>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</si>
  <si>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</si>
  <si>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</si>
  <si>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</si>
  <si>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</si>
  <si>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</si>
  <si>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</si>
  <si>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</si>
  <si>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</si>
  <si>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</si>
  <si>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</si>
  <si>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</si>
  <si>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</si>
  <si>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</si>
  <si>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</si>
  <si>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</si>
  <si>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</si>
  <si>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</si>
  <si>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</si>
  <si>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</si>
  <si>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</si>
  <si>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</si>
  <si>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</si>
  <si>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</si>
  <si>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</si>
  <si>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</si>
  <si>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</si>
  <si>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</si>
  <si>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</si>
  <si>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t.sk. nesadalītais atlikums   1 812  tūkst.latu</t>
  </si>
  <si>
    <t>* iedzīvotāju ienākuma nodokļa prognozes neizpildes kompensācija   3 500  tūkst.latu</t>
  </si>
  <si>
    <t>Valsts kases pārvaldnieks</t>
  </si>
  <si>
    <t>A. Veiss</t>
  </si>
  <si>
    <t xml:space="preserve">                                           Valsts kases oficiālais mēneša pārskats</t>
  </si>
  <si>
    <t>12. tabula</t>
  </si>
  <si>
    <t xml:space="preserve">Pašvaldību pamatbudžeta izdevumi </t>
  </si>
  <si>
    <t>( 1999. gada janvāris - oktobris )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</si>
  <si>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</si>
  <si>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</si>
  <si>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</si>
  <si>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</si>
  <si>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</si>
  <si>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</si>
  <si>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</si>
  <si>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</si>
  <si>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</si>
  <si>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</si>
  <si>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</si>
  <si>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</si>
  <si>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</si>
  <si>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</si>
  <si>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</si>
  <si>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</si>
  <si>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</si>
  <si>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</si>
  <si>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</si>
  <si>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</si>
  <si>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</si>
  <si>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</si>
  <si>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</si>
  <si>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</si>
  <si>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</si>
  <si>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</si>
  <si>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</si>
  <si>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</si>
  <si>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</si>
  <si>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</si>
  <si>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</si>
  <si>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</si>
  <si>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</si>
  <si>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</si>
  <si>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</si>
  <si>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</si>
  <si>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</si>
  <si>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</si>
  <si>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</si>
  <si>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</si>
  <si>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</si>
  <si>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</si>
  <si>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</si>
  <si>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</si>
  <si>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</si>
  <si>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</si>
  <si>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</si>
  <si>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</si>
  <si>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</si>
  <si>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</si>
  <si>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</si>
  <si>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</si>
  <si>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</si>
  <si>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</si>
  <si>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</si>
  <si>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</si>
  <si>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</si>
  <si>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</si>
  <si>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</si>
  <si>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</si>
  <si>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</si>
  <si>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</si>
  <si>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</si>
  <si>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</si>
  <si>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</si>
  <si>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</si>
  <si>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</si>
  <si>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</si>
  <si>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</si>
  <si>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</si>
  <si>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</si>
  <si>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</si>
  <si>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</si>
  <si>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</si>
  <si>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</si>
  <si>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</si>
  <si>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</si>
  <si>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</si>
  <si>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</si>
  <si>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</si>
  <si>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</si>
  <si>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</si>
  <si>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</si>
  <si>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</si>
  <si>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</si>
  <si>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</si>
  <si>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</si>
  <si>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</si>
  <si>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</si>
  <si>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</si>
  <si>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</si>
  <si>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</si>
  <si>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</si>
  <si>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</si>
  <si>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</si>
  <si>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</si>
  <si>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</si>
  <si>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</si>
  <si>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</si>
  <si>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</si>
  <si>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</si>
  <si>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</si>
  <si>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</si>
  <si>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</si>
  <si>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</si>
  <si>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</si>
  <si>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</si>
  <si>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</si>
  <si>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</si>
  <si>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</si>
  <si>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</si>
  <si>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</si>
  <si>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</si>
  <si>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</si>
  <si>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</si>
  <si>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</si>
  <si>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</si>
  <si>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</si>
  <si>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</si>
  <si>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</si>
  <si>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</si>
  <si>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</si>
  <si>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</si>
  <si>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</si>
  <si>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</si>
  <si>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</si>
  <si>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</si>
  <si>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pārvaldnieks </t>
  </si>
  <si>
    <t>_______________________________</t>
  </si>
  <si>
    <t xml:space="preserve">Valsts kase / Pārskatu departaments </t>
  </si>
  <si>
    <t>15.11.99.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</si>
  <si>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</si>
  <si>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</si>
  <si>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</si>
  <si>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</si>
  <si>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</si>
  <si>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</si>
  <si>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</si>
  <si>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</si>
  <si>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</si>
  <si>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</si>
  <si>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</si>
  <si>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</si>
  <si>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</si>
  <si>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</si>
  <si>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</si>
  <si>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</si>
  <si>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oktobris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</si>
  <si>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</si>
  <si>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</si>
  <si>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</si>
  <si>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</si>
  <si>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</si>
  <si>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</si>
  <si>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</si>
  <si>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</si>
  <si>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</si>
  <si>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</si>
  <si>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</si>
  <si>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</si>
  <si>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 novembri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</si>
  <si>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</si>
  <si>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</si>
  <si>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</si>
  <si>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</si>
  <si>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( 1999. gada janvāris - oktobris )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</si>
  <si>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</si>
  <si>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</si>
  <si>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</si>
  <si>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</si>
  <si>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</si>
  <si>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</si>
  <si>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</si>
  <si>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</si>
  <si>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</si>
  <si>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</si>
  <si>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</si>
  <si>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</si>
  <si>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</si>
  <si>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</si>
  <si>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</si>
  <si>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</si>
  <si>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</si>
  <si>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</si>
  <si>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</si>
  <si>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</si>
  <si>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</si>
  <si>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</si>
  <si>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</si>
  <si>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</si>
  <si>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</si>
  <si>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</si>
  <si>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</si>
  <si>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</si>
  <si>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</si>
  <si>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</si>
  <si>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</si>
  <si>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</si>
  <si>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</si>
  <si>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</si>
  <si>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</si>
  <si>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</si>
  <si>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</si>
  <si>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</si>
  <si>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</si>
  <si>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</si>
  <si>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</si>
  <si>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</si>
  <si>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</si>
  <si>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</si>
  <si>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</si>
  <si>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</si>
  <si>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10. tabula</t>
  </si>
  <si>
    <t xml:space="preserve">Pašvaldību konsolidētā budžeta izpilde 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</si>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</sst>
</file>

<file path=xl/styles.xml><?xml version="1.0" encoding="utf-8"?>
<styleSheet xmlns="http://schemas.openxmlformats.org/spreadsheetml/2006/main">
  <numFmts count="5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#,###%"/>
    <numFmt numFmtId="168" formatCode="0.0%"/>
    <numFmt numFmtId="169" formatCode="00.0%"/>
    <numFmt numFmtId="170" formatCode="###.0%"/>
    <numFmt numFmtId="171" formatCode="#,###.0%"/>
    <numFmt numFmtId="172" formatCode="###,###"/>
    <numFmt numFmtId="173" formatCode="00.000"/>
    <numFmt numFmtId="174" formatCode="#,##0\ &quot;LVR&quot;;\-#,##0\ &quot;LVR&quot;"/>
    <numFmt numFmtId="175" formatCode="#,##0\ &quot;LVR&quot;;[Red]\-#,##0\ &quot;LVR&quot;"/>
    <numFmt numFmtId="176" formatCode="#,##0.00\ &quot;LVR&quot;;\-#,##0.00\ &quot;LVR&quot;"/>
    <numFmt numFmtId="177" formatCode="#,##0.00\ &quot;LVR&quot;;[Red]\-#,##0.00\ &quot;LVR&quot;"/>
    <numFmt numFmtId="178" formatCode="_-* #,##0\ &quot;LVR&quot;_-;\-* #,##0\ &quot;LVR&quot;_-;_-* &quot;-&quot;\ &quot;LVR&quot;_-;_-@_-"/>
    <numFmt numFmtId="179" formatCode="_-* #,##0\ _L_V_R_-;\-* #,##0\ _L_V_R_-;_-* &quot;-&quot;\ _L_V_R_-;_-@_-"/>
    <numFmt numFmtId="180" formatCode="_-* #,##0.00\ &quot;LVR&quot;_-;\-* #,##0.00\ &quot;LVR&quot;_-;_-* &quot;-&quot;??\ &quot;LVR&quot;_-;_-@_-"/>
    <numFmt numFmtId="181" formatCode="_-* #,##0.00\ _L_V_R_-;\-* #,##0.00\ _L_V_R_-;_-* &quot;-&quot;??\ _L_V_R_-;_-@_-"/>
    <numFmt numFmtId="182" formatCode="&quot;Ls&quot;#,##0_);\(&quot;Ls&quot;#,##0\)"/>
    <numFmt numFmtId="183" formatCode="&quot;Ls&quot;#,##0_);[Red]\(&quot;Ls&quot;#,##0\)"/>
    <numFmt numFmtId="184" formatCode="&quot;Ls&quot;#,##0.00_);\(&quot;Ls&quot;#,##0.00\)"/>
    <numFmt numFmtId="185" formatCode="&quot;Ls&quot;#,##0.00_);[Red]\(&quot;Ls&quot;#,##0.00\)"/>
    <numFmt numFmtId="186" formatCode="_(&quot;Ls&quot;* #,##0_);_(&quot;Ls&quot;* \(#,##0\);_(&quot;Ls&quot;* &quot;-&quot;_);_(@_)"/>
    <numFmt numFmtId="187" formatCode="_(* #,##0_);_(* \(#,##0\);_(* &quot;-&quot;_);_(@_)"/>
    <numFmt numFmtId="188" formatCode="_(&quot;Ls&quot;* #,##0.00_);_(&quot;Ls&quot;* \(#,##0.00\);_(&quot;Ls&quot;* &quot;-&quot;??_);_(@_)"/>
    <numFmt numFmtId="189" formatCode="_(* #,##0.00_);_(* \(#,##0.00\);_(* &quot;-&quot;??_);_(@_)"/>
    <numFmt numFmtId="190" formatCode="#,###,##0"/>
    <numFmt numFmtId="191" formatCode="#,000"/>
    <numFmt numFmtId="192" formatCode="#,###,000"/>
    <numFmt numFmtId="193" formatCode="#,"/>
    <numFmt numFmtId="194" formatCode="0,"/>
    <numFmt numFmtId="195" formatCode="##0"/>
    <numFmt numFmtId="196" formatCode="#0,"/>
    <numFmt numFmtId="197" formatCode="#,#00"/>
    <numFmt numFmtId="198" formatCode="#."/>
    <numFmt numFmtId="199" formatCode="##0,"/>
    <numFmt numFmtId="200" formatCode="##0,###"/>
    <numFmt numFmtId="201" formatCode="#,###"/>
    <numFmt numFmtId="202" formatCode="\ #,"/>
    <numFmt numFmtId="203" formatCode="\ #"/>
    <numFmt numFmtId="204" formatCode="#,###,00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#\ ###\ ##0"/>
    <numFmt numFmtId="209" formatCode="#\ ###\ \ ##0"/>
    <numFmt numFmtId="210" formatCode="###,##0,"/>
    <numFmt numFmtId="211" formatCode="#,###,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/>
    </xf>
    <xf numFmtId="167" fontId="5" fillId="0" borderId="1" xfId="24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24" applyNumberFormat="1" applyFont="1" applyBorder="1" applyAlignment="1">
      <alignment/>
    </xf>
    <xf numFmtId="0" fontId="8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8" fontId="5" fillId="0" borderId="1" xfId="24" applyNumberFormat="1" applyFont="1" applyBorder="1" applyAlignment="1">
      <alignment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4" applyNumberFormat="1" applyFont="1" applyBorder="1" applyAlignment="1">
      <alignment/>
    </xf>
    <xf numFmtId="168" fontId="3" fillId="0" borderId="1" xfId="24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8" fontId="6" fillId="0" borderId="1" xfId="24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0" fontId="4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9" fontId="4" fillId="0" borderId="1" xfId="24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9" fontId="8" fillId="0" borderId="1" xfId="24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0" fontId="4" fillId="0" borderId="1" xfId="0" applyNumberFormat="1" applyFont="1" applyFill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24" applyNumberFormat="1" applyFont="1" applyBorder="1" applyAlignment="1">
      <alignment/>
    </xf>
    <xf numFmtId="10" fontId="3" fillId="0" borderId="1" xfId="0" applyNumberFormat="1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9" fontId="3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/>
    </xf>
    <xf numFmtId="169" fontId="6" fillId="0" borderId="1" xfId="24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3" fillId="0" borderId="0" xfId="24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70" fontId="4" fillId="0" borderId="1" xfId="24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0" fontId="3" fillId="0" borderId="1" xfId="24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70" fontId="8" fillId="0" borderId="1" xfId="24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166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 wrapText="1"/>
    </xf>
    <xf numFmtId="170" fontId="5" fillId="0" borderId="1" xfId="24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6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71" fontId="5" fillId="0" borderId="1" xfId="24" applyNumberFormat="1" applyFont="1" applyBorder="1" applyAlignment="1">
      <alignment/>
    </xf>
    <xf numFmtId="0" fontId="2" fillId="0" borderId="1" xfId="0" applyFont="1" applyBorder="1" applyAlignment="1">
      <alignment/>
    </xf>
    <xf numFmtId="171" fontId="3" fillId="0" borderId="1" xfId="24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/>
    </xf>
    <xf numFmtId="171" fontId="6" fillId="0" borderId="1" xfId="24" applyNumberFormat="1" applyFont="1" applyBorder="1" applyAlignment="1">
      <alignment/>
    </xf>
    <xf numFmtId="0" fontId="15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8" fontId="4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7" fontId="6" fillId="0" borderId="1" xfId="24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0" fillId="0" borderId="3" xfId="0" applyNumberFormat="1" applyBorder="1" applyAlignment="1">
      <alignment/>
    </xf>
    <xf numFmtId="164" fontId="4" fillId="0" borderId="3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 wrapText="1"/>
    </xf>
    <xf numFmtId="9" fontId="8" fillId="0" borderId="1" xfId="24" applyNumberFormat="1" applyFont="1" applyBorder="1" applyAlignment="1">
      <alignment/>
    </xf>
    <xf numFmtId="167" fontId="3" fillId="0" borderId="1" xfId="24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9" fontId="5" fillId="0" borderId="1" xfId="24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0" fillId="0" borderId="4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1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0" fontId="5" fillId="0" borderId="1" xfId="24" applyNumberFormat="1" applyFont="1" applyBorder="1" applyAlignment="1">
      <alignment/>
    </xf>
    <xf numFmtId="10" fontId="8" fillId="0" borderId="1" xfId="24" applyNumberFormat="1" applyFont="1" applyBorder="1" applyAlignment="1">
      <alignment/>
    </xf>
    <xf numFmtId="17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0" fontId="3" fillId="0" borderId="1" xfId="24" applyNumberFormat="1" applyFont="1" applyBorder="1" applyAlignment="1">
      <alignment/>
    </xf>
    <xf numFmtId="173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23" applyNumberFormat="1" applyFont="1" applyAlignment="1">
      <alignment horizontal="centerContinuous" vertical="top" wrapText="1"/>
      <protection/>
    </xf>
    <xf numFmtId="0" fontId="0" fillId="0" borderId="0" xfId="23" applyFont="1" applyAlignment="1">
      <alignment horizontal="centerContinuous"/>
      <protection/>
    </xf>
    <xf numFmtId="0" fontId="20" fillId="0" borderId="0" xfId="23" applyFont="1">
      <alignment/>
      <protection/>
    </xf>
    <xf numFmtId="0" fontId="0" fillId="0" borderId="0" xfId="23" applyFont="1" applyAlignment="1">
      <alignment horizontal="left"/>
      <protection/>
    </xf>
    <xf numFmtId="49" fontId="1" fillId="0" borderId="0" xfId="23" applyNumberFormat="1" applyFont="1" applyAlignment="1">
      <alignment horizontal="centerContinuous" vertical="top" wrapText="1"/>
      <protection/>
    </xf>
    <xf numFmtId="49" fontId="21" fillId="0" borderId="0" xfId="23" applyNumberFormat="1" applyFont="1" applyAlignment="1">
      <alignment horizontal="centerContinuous" vertical="top" wrapText="1"/>
      <protection/>
    </xf>
    <xf numFmtId="0" fontId="21" fillId="0" borderId="0" xfId="23" applyFont="1" applyAlignment="1">
      <alignment horizontal="centerContinuous"/>
      <protection/>
    </xf>
    <xf numFmtId="0" fontId="21" fillId="0" borderId="0" xfId="23" applyFont="1">
      <alignment/>
      <protection/>
    </xf>
    <xf numFmtId="49" fontId="20" fillId="0" borderId="0" xfId="23" applyNumberFormat="1" applyFont="1" applyAlignment="1">
      <alignment vertical="top" wrapText="1"/>
      <protection/>
    </xf>
    <xf numFmtId="0" fontId="20" fillId="0" borderId="0" xfId="23" applyFont="1" applyAlignment="1">
      <alignment horizontal="centerContinuous"/>
      <protection/>
    </xf>
    <xf numFmtId="0" fontId="3" fillId="0" borderId="0" xfId="23" applyFont="1">
      <alignment/>
      <protection/>
    </xf>
    <xf numFmtId="49" fontId="3" fillId="0" borderId="0" xfId="23" applyNumberFormat="1" applyFont="1" applyAlignment="1">
      <alignment vertical="top" wrapText="1"/>
      <protection/>
    </xf>
    <xf numFmtId="0" fontId="3" fillId="0" borderId="0" xfId="23" applyFont="1" applyAlignment="1">
      <alignment horizontal="centerContinuous"/>
      <protection/>
    </xf>
    <xf numFmtId="49" fontId="3" fillId="0" borderId="1" xfId="23" applyNumberFormat="1" applyFont="1" applyFill="1" applyBorder="1" applyAlignment="1">
      <alignment horizontal="centerContinuous" vertical="center"/>
      <protection/>
    </xf>
    <xf numFmtId="49" fontId="3" fillId="0" borderId="1" xfId="23" applyNumberFormat="1" applyFont="1" applyFill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49" fontId="3" fillId="0" borderId="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>
      <alignment/>
      <protection/>
    </xf>
    <xf numFmtId="4" fontId="2" fillId="0" borderId="1" xfId="23" applyNumberFormat="1" applyFont="1" applyBorder="1">
      <alignment/>
      <protection/>
    </xf>
    <xf numFmtId="49" fontId="4" fillId="0" borderId="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left"/>
      <protection/>
    </xf>
    <xf numFmtId="3" fontId="5" fillId="0" borderId="1" xfId="23" applyNumberFormat="1" applyFont="1" applyBorder="1" applyAlignment="1">
      <alignment horizontal="left"/>
      <protection/>
    </xf>
    <xf numFmtId="3" fontId="3" fillId="0" borderId="1" xfId="23" applyNumberFormat="1" applyFont="1" applyBorder="1">
      <alignment/>
      <protection/>
    </xf>
    <xf numFmtId="49" fontId="3" fillId="0" borderId="1" xfId="23" applyNumberFormat="1" applyFont="1" applyFill="1" applyBorder="1" applyAlignment="1">
      <alignment vertical="top" wrapText="1"/>
      <protection/>
    </xf>
    <xf numFmtId="49" fontId="4" fillId="0" borderId="1" xfId="23" applyNumberFormat="1" applyFont="1" applyFill="1" applyBorder="1" applyAlignment="1">
      <alignment vertical="top" wrapText="1"/>
      <protection/>
    </xf>
    <xf numFmtId="3" fontId="5" fillId="0" borderId="1" xfId="23" applyNumberFormat="1" applyFont="1" applyBorder="1" applyAlignment="1">
      <alignment horizontal="center"/>
      <protection/>
    </xf>
    <xf numFmtId="49" fontId="5" fillId="0" borderId="1" xfId="23" applyNumberFormat="1" applyFont="1" applyFill="1" applyBorder="1" applyAlignment="1">
      <alignment horizontal="center" vertical="top" wrapText="1"/>
      <protection/>
    </xf>
    <xf numFmtId="0" fontId="20" fillId="0" borderId="0" xfId="23" applyFont="1" applyBorder="1" applyAlignment="1">
      <alignment horizontal="left"/>
      <protection/>
    </xf>
    <xf numFmtId="0" fontId="2" fillId="0" borderId="0" xfId="23" applyFont="1" applyAlignment="1">
      <alignment horizontal="center"/>
      <protection/>
    </xf>
    <xf numFmtId="0" fontId="20" fillId="0" borderId="0" xfId="23" applyFont="1" applyAlignment="1">
      <alignment horizontal="left"/>
      <protection/>
    </xf>
    <xf numFmtId="0" fontId="20" fillId="0" borderId="0" xfId="23" applyFont="1" applyBorder="1" applyAlignment="1">
      <alignment horizontal="center"/>
      <protection/>
    </xf>
    <xf numFmtId="49" fontId="0" fillId="0" borderId="0" xfId="23" applyNumberFormat="1" applyFont="1" applyAlignment="1">
      <alignment vertical="top" wrapText="1"/>
      <protection/>
    </xf>
    <xf numFmtId="49" fontId="2" fillId="0" borderId="0" xfId="23" applyNumberFormat="1" applyFont="1" applyAlignment="1">
      <alignment horizontal="left" vertical="top" wrapText="1"/>
      <protection/>
    </xf>
    <xf numFmtId="49" fontId="2" fillId="0" borderId="0" xfId="23" applyNumberFormat="1" applyFont="1" applyAlignment="1">
      <alignment vertical="top" wrapText="1"/>
      <protection/>
    </xf>
    <xf numFmtId="49" fontId="2" fillId="0" borderId="5" xfId="23" applyNumberFormat="1" applyFont="1" applyBorder="1" applyAlignment="1">
      <alignment horizontal="center"/>
      <protection/>
    </xf>
    <xf numFmtId="49" fontId="2" fillId="0" borderId="0" xfId="23" applyNumberFormat="1" applyFont="1" applyBorder="1" applyAlignment="1">
      <alignment horizontal="center"/>
      <protection/>
    </xf>
    <xf numFmtId="0" fontId="2" fillId="0" borderId="0" xfId="23" applyFont="1">
      <alignment/>
      <protection/>
    </xf>
    <xf numFmtId="49" fontId="20" fillId="0" borderId="0" xfId="23" applyNumberFormat="1" applyFont="1" applyAlignment="1">
      <alignment horizontal="left" vertical="top" wrapText="1"/>
      <protection/>
    </xf>
    <xf numFmtId="0" fontId="3" fillId="0" borderId="0" xfId="23" applyFont="1" applyAlignment="1">
      <alignment horizontal="left"/>
      <protection/>
    </xf>
    <xf numFmtId="0" fontId="20" fillId="0" borderId="0" xfId="23" applyFont="1" applyAlignment="1">
      <alignment/>
      <protection/>
    </xf>
    <xf numFmtId="49" fontId="3" fillId="0" borderId="0" xfId="23" applyNumberFormat="1" applyFont="1" applyAlignment="1">
      <alignment horizontal="centerContinuous" vertical="top" wrapText="1"/>
      <protection/>
    </xf>
    <xf numFmtId="49" fontId="20" fillId="0" borderId="0" xfId="23" applyNumberFormat="1" applyFont="1" applyAlignment="1">
      <alignment horizontal="centerContinuous" vertical="top" wrapText="1"/>
      <protection/>
    </xf>
    <xf numFmtId="49" fontId="3" fillId="0" borderId="0" xfId="23" applyNumberFormat="1" applyFont="1" applyAlignment="1">
      <alignment horizontal="center" vertical="top" wrapText="1"/>
      <protection/>
    </xf>
    <xf numFmtId="0" fontId="3" fillId="0" borderId="0" xfId="23" applyFont="1" applyAlignment="1">
      <alignment/>
      <protection/>
    </xf>
    <xf numFmtId="49" fontId="3" fillId="0" borderId="6" xfId="23" applyNumberFormat="1" applyFont="1" applyFill="1" applyBorder="1" applyAlignment="1">
      <alignment horizontal="center" vertical="center" wrapText="1"/>
      <protection/>
    </xf>
    <xf numFmtId="49" fontId="3" fillId="0" borderId="7" xfId="23" applyNumberFormat="1" applyFont="1" applyFill="1" applyBorder="1" applyAlignment="1">
      <alignment horizontal="center" vertical="center" wrapText="1"/>
      <protection/>
    </xf>
    <xf numFmtId="49" fontId="3" fillId="0" borderId="8" xfId="23" applyNumberFormat="1" applyFont="1" applyFill="1" applyBorder="1" applyAlignment="1">
      <alignment horizontal="center" vertical="center" wrapText="1"/>
      <protection/>
    </xf>
    <xf numFmtId="49" fontId="3" fillId="0" borderId="9" xfId="23" applyNumberFormat="1" applyFont="1" applyFill="1" applyBorder="1" applyAlignment="1">
      <alignment horizontal="center" vertical="top" wrapText="1"/>
      <protection/>
    </xf>
    <xf numFmtId="49" fontId="3" fillId="0" borderId="10" xfId="23" applyNumberFormat="1" applyFont="1" applyFill="1" applyBorder="1" applyAlignment="1">
      <alignment horizontal="center" vertical="top" wrapText="1"/>
      <protection/>
    </xf>
    <xf numFmtId="49" fontId="4" fillId="0" borderId="9" xfId="23" applyNumberFormat="1" applyFont="1" applyFill="1" applyBorder="1" applyAlignment="1">
      <alignment horizontal="center" vertical="top" wrapText="1"/>
      <protection/>
    </xf>
    <xf numFmtId="3" fontId="2" fillId="0" borderId="10" xfId="23" applyNumberFormat="1" applyFont="1" applyBorder="1">
      <alignment/>
      <protection/>
    </xf>
    <xf numFmtId="49" fontId="4" fillId="0" borderId="9" xfId="23" applyNumberFormat="1" applyFont="1" applyFill="1" applyBorder="1" applyAlignment="1">
      <alignment horizontal="left" vertical="top" wrapText="1"/>
      <protection/>
    </xf>
    <xf numFmtId="49" fontId="3" fillId="0" borderId="9" xfId="23" applyNumberFormat="1" applyFont="1" applyFill="1" applyBorder="1" applyAlignment="1">
      <alignment vertical="top" wrapText="1"/>
      <protection/>
    </xf>
    <xf numFmtId="49" fontId="5" fillId="0" borderId="9" xfId="23" applyNumberFormat="1" applyFont="1" applyFill="1" applyBorder="1" applyAlignment="1">
      <alignment horizontal="center" vertical="top" wrapText="1"/>
      <protection/>
    </xf>
    <xf numFmtId="49" fontId="3" fillId="0" borderId="9" xfId="23" applyNumberFormat="1" applyFont="1" applyFill="1" applyBorder="1" applyAlignment="1">
      <alignment horizontal="left" vertical="top" wrapText="1"/>
      <protection/>
    </xf>
    <xf numFmtId="49" fontId="3" fillId="0" borderId="11" xfId="23" applyNumberFormat="1" applyFont="1" applyFill="1" applyBorder="1" applyAlignment="1">
      <alignment horizontal="left" vertical="top" wrapText="1"/>
      <protection/>
    </xf>
    <xf numFmtId="3" fontId="2" fillId="0" borderId="12" xfId="23" applyNumberFormat="1" applyFont="1" applyBorder="1">
      <alignment/>
      <protection/>
    </xf>
    <xf numFmtId="3" fontId="2" fillId="0" borderId="13" xfId="23" applyNumberFormat="1" applyFont="1" applyBorder="1">
      <alignment/>
      <protection/>
    </xf>
    <xf numFmtId="0" fontId="2" fillId="0" borderId="0" xfId="23" applyFont="1" applyAlignment="1">
      <alignment horizontal="left"/>
      <protection/>
    </xf>
    <xf numFmtId="49" fontId="2" fillId="0" borderId="0" xfId="23" applyNumberFormat="1" applyFont="1" applyFill="1" applyBorder="1" applyAlignment="1">
      <alignment vertical="top" wrapText="1"/>
      <protection/>
    </xf>
    <xf numFmtId="49" fontId="2" fillId="0" borderId="0" xfId="23" applyNumberFormat="1" applyFont="1" applyFill="1" applyBorder="1" applyAlignment="1">
      <alignment horizontal="center" vertical="top" wrapText="1"/>
      <protection/>
    </xf>
    <xf numFmtId="3" fontId="2" fillId="0" borderId="0" xfId="23" applyNumberFormat="1" applyFont="1" applyBorder="1">
      <alignment/>
      <protection/>
    </xf>
    <xf numFmtId="49" fontId="2" fillId="0" borderId="0" xfId="23" applyNumberFormat="1" applyFont="1" applyAlignment="1">
      <alignment horizontal="center" vertical="top" wrapText="1"/>
      <protection/>
    </xf>
    <xf numFmtId="0" fontId="2" fillId="0" borderId="5" xfId="23" applyFont="1" applyBorder="1" applyAlignment="1">
      <alignment/>
      <protection/>
    </xf>
    <xf numFmtId="49" fontId="2" fillId="0" borderId="0" xfId="23" applyNumberFormat="1" applyFont="1" applyBorder="1">
      <alignment/>
      <protection/>
    </xf>
    <xf numFmtId="0" fontId="2" fillId="0" borderId="0" xfId="23" applyFont="1" applyAlignment="1">
      <alignment/>
      <protection/>
    </xf>
    <xf numFmtId="49" fontId="20" fillId="0" borderId="0" xfId="23" applyNumberFormat="1" applyFont="1" applyAlignment="1">
      <alignment horizontal="center" vertical="top" wrapText="1"/>
      <protection/>
    </xf>
    <xf numFmtId="49" fontId="0" fillId="0" borderId="0" xfId="23" applyNumberFormat="1" applyFont="1" applyAlignment="1">
      <alignment horizontal="right" vertical="top" wrapText="1"/>
      <protection/>
    </xf>
    <xf numFmtId="49" fontId="10" fillId="0" borderId="0" xfId="23" applyNumberFormat="1" applyFont="1" applyAlignment="1">
      <alignment horizontal="centerContinuous" vertical="top" wrapText="1"/>
      <protection/>
    </xf>
    <xf numFmtId="49" fontId="5" fillId="0" borderId="9" xfId="23" applyNumberFormat="1" applyFont="1" applyFill="1" applyBorder="1" applyAlignment="1">
      <alignment horizontal="left" vertical="top" wrapText="1"/>
      <protection/>
    </xf>
    <xf numFmtId="49" fontId="6" fillId="0" borderId="9" xfId="23" applyNumberFormat="1" applyFont="1" applyFill="1" applyBorder="1" applyAlignment="1">
      <alignment horizontal="left" vertical="top" wrapText="1"/>
      <protection/>
    </xf>
    <xf numFmtId="3" fontId="20" fillId="0" borderId="0" xfId="23" applyNumberFormat="1" applyFont="1" applyAlignment="1">
      <alignment horizontal="left"/>
      <protection/>
    </xf>
    <xf numFmtId="4" fontId="2" fillId="0" borderId="12" xfId="23" applyNumberFormat="1" applyFont="1" applyBorder="1">
      <alignment/>
      <protection/>
    </xf>
    <xf numFmtId="49" fontId="4" fillId="0" borderId="11" xfId="23" applyNumberFormat="1" applyFont="1" applyFill="1" applyBorder="1" applyAlignment="1">
      <alignment horizontal="left" vertical="top" wrapText="1"/>
      <protection/>
    </xf>
    <xf numFmtId="4" fontId="2" fillId="0" borderId="14" xfId="23" applyNumberFormat="1" applyFont="1" applyBorder="1">
      <alignment/>
      <protection/>
    </xf>
    <xf numFmtId="49" fontId="3" fillId="0" borderId="0" xfId="23" applyNumberFormat="1" applyFont="1" applyAlignment="1">
      <alignment horizontal="left" vertical="top" wrapText="1"/>
      <protection/>
    </xf>
    <xf numFmtId="0" fontId="3" fillId="0" borderId="9" xfId="23" applyFont="1" applyBorder="1" applyAlignment="1">
      <alignment horizontal="center"/>
      <protection/>
    </xf>
    <xf numFmtId="3" fontId="3" fillId="0" borderId="1" xfId="23" applyNumberFormat="1" applyFont="1" applyBorder="1" applyAlignment="1">
      <alignment horizontal="center"/>
      <protection/>
    </xf>
    <xf numFmtId="0" fontId="3" fillId="0" borderId="1" xfId="23" applyNumberFormat="1" applyFont="1" applyBorder="1" applyAlignment="1">
      <alignment horizontal="center"/>
      <protection/>
    </xf>
    <xf numFmtId="0" fontId="3" fillId="0" borderId="10" xfId="23" applyNumberFormat="1" applyFont="1" applyBorder="1" applyAlignment="1">
      <alignment horizontal="center"/>
      <protection/>
    </xf>
    <xf numFmtId="0" fontId="4" fillId="0" borderId="9" xfId="23" applyFont="1" applyBorder="1" applyAlignment="1">
      <alignment horizontal="left" vertical="top" wrapText="1"/>
      <protection/>
    </xf>
    <xf numFmtId="2" fontId="2" fillId="0" borderId="1" xfId="23" applyNumberFormat="1" applyFont="1" applyBorder="1">
      <alignment/>
      <protection/>
    </xf>
    <xf numFmtId="0" fontId="3" fillId="0" borderId="9" xfId="23" applyFont="1" applyBorder="1" applyAlignment="1">
      <alignment vertical="top" wrapText="1"/>
      <protection/>
    </xf>
    <xf numFmtId="0" fontId="4" fillId="0" borderId="9" xfId="23" applyFont="1" applyBorder="1" applyAlignment="1">
      <alignment vertical="top" wrapText="1"/>
      <protection/>
    </xf>
    <xf numFmtId="0" fontId="4" fillId="0" borderId="11" xfId="23" applyFont="1" applyBorder="1" applyAlignment="1">
      <alignment vertical="top" wrapText="1"/>
      <protection/>
    </xf>
    <xf numFmtId="2" fontId="2" fillId="0" borderId="12" xfId="23" applyNumberFormat="1" applyFont="1" applyBorder="1">
      <alignment/>
      <protection/>
    </xf>
    <xf numFmtId="0" fontId="20" fillId="0" borderId="0" xfId="23" applyFont="1" applyAlignment="1">
      <alignment horizontal="center"/>
      <protection/>
    </xf>
    <xf numFmtId="0" fontId="0" fillId="0" borderId="0" xfId="23" applyFont="1" applyAlignment="1">
      <alignment horizontal="right"/>
      <protection/>
    </xf>
    <xf numFmtId="0" fontId="3" fillId="0" borderId="5" xfId="23" applyFont="1" applyBorder="1">
      <alignment/>
      <protection/>
    </xf>
    <xf numFmtId="0" fontId="3" fillId="0" borderId="5" xfId="23" applyFont="1" applyBorder="1" applyAlignment="1">
      <alignment horizontal="centerContinuous"/>
      <protection/>
    </xf>
    <xf numFmtId="2" fontId="2" fillId="0" borderId="15" xfId="23" applyNumberFormat="1" applyFont="1" applyBorder="1">
      <alignment/>
      <protection/>
    </xf>
    <xf numFmtId="4" fontId="2" fillId="0" borderId="0" xfId="23" applyNumberFormat="1" applyFont="1" applyBorder="1">
      <alignment/>
      <protection/>
    </xf>
    <xf numFmtId="0" fontId="20" fillId="0" borderId="5" xfId="23" applyFont="1" applyBorder="1">
      <alignment/>
      <protection/>
    </xf>
    <xf numFmtId="0" fontId="2" fillId="0" borderId="0" xfId="23" applyFont="1" applyBorder="1" applyAlignment="1">
      <alignment/>
      <protection/>
    </xf>
    <xf numFmtId="49" fontId="2" fillId="0" borderId="0" xfId="23" applyNumberFormat="1" applyFont="1">
      <alignment/>
      <protection/>
    </xf>
    <xf numFmtId="0" fontId="0" fillId="0" borderId="0" xfId="23" applyFont="1" applyAlignment="1">
      <alignment/>
      <protection/>
    </xf>
    <xf numFmtId="49" fontId="0" fillId="0" borderId="0" xfId="23" applyNumberFormat="1" applyFont="1" applyAlignment="1">
      <alignment horizontal="center" vertical="top" wrapText="1"/>
      <protection/>
    </xf>
    <xf numFmtId="0" fontId="0" fillId="0" borderId="0" xfId="23" applyFont="1" applyAlignment="1">
      <alignment wrapText="1"/>
      <protection/>
    </xf>
    <xf numFmtId="0" fontId="20" fillId="0" borderId="0" xfId="23" applyFont="1" applyAlignment="1">
      <alignment wrapText="1"/>
      <protection/>
    </xf>
    <xf numFmtId="0" fontId="2" fillId="0" borderId="0" xfId="23" applyFont="1" applyAlignment="1">
      <alignment horizontal="centerContinuous"/>
      <protection/>
    </xf>
    <xf numFmtId="0" fontId="1" fillId="0" borderId="0" xfId="23" applyFont="1" applyAlignment="1">
      <alignment horizontal="centerContinuous" wrapText="1"/>
      <protection/>
    </xf>
    <xf numFmtId="0" fontId="1" fillId="0" borderId="0" xfId="23" applyFont="1" applyAlignment="1">
      <alignment horizontal="centerContinuous"/>
      <protection/>
    </xf>
    <xf numFmtId="0" fontId="22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centerContinuous" wrapText="1"/>
      <protection/>
    </xf>
    <xf numFmtId="0" fontId="0" fillId="0" borderId="16" xfId="23" applyFont="1" applyBorder="1" applyAlignment="1">
      <alignment wrapText="1"/>
      <protection/>
    </xf>
    <xf numFmtId="0" fontId="3" fillId="0" borderId="17" xfId="23" applyFont="1" applyBorder="1" applyAlignment="1">
      <alignment horizontal="centerContinuous"/>
      <protection/>
    </xf>
    <xf numFmtId="0" fontId="3" fillId="0" borderId="18" xfId="23" applyFont="1" applyBorder="1" applyAlignment="1">
      <alignment horizontal="centerContinuous"/>
      <protection/>
    </xf>
    <xf numFmtId="0" fontId="0" fillId="0" borderId="19" xfId="23" applyFont="1" applyBorder="1" applyAlignment="1">
      <alignment/>
      <protection/>
    </xf>
    <xf numFmtId="0" fontId="3" fillId="0" borderId="18" xfId="23" applyFont="1" applyBorder="1" applyAlignment="1">
      <alignment horizontal="centerContinuous" vertical="center"/>
      <protection/>
    </xf>
    <xf numFmtId="0" fontId="3" fillId="0" borderId="17" xfId="23" applyFont="1" applyBorder="1" applyAlignment="1">
      <alignment horizontal="centerContinuous" vertical="center" wrapText="1"/>
      <protection/>
    </xf>
    <xf numFmtId="0" fontId="0" fillId="0" borderId="17" xfId="23" applyFont="1" applyBorder="1" applyAlignment="1">
      <alignment horizontal="centerContinuous"/>
      <protection/>
    </xf>
    <xf numFmtId="0" fontId="0" fillId="0" borderId="20" xfId="23" applyFont="1" applyBorder="1" applyAlignment="1">
      <alignment horizontal="center"/>
      <protection/>
    </xf>
    <xf numFmtId="0" fontId="3" fillId="0" borderId="21" xfId="23" applyFont="1" applyBorder="1" applyAlignment="1">
      <alignment wrapText="1"/>
      <protection/>
    </xf>
    <xf numFmtId="0" fontId="3" fillId="0" borderId="22" xfId="23" applyFont="1" applyBorder="1" applyAlignment="1">
      <alignment/>
      <protection/>
    </xf>
    <xf numFmtId="0" fontId="3" fillId="0" borderId="23" xfId="23" applyFont="1" applyBorder="1" applyAlignment="1">
      <alignment horizontal="centerContinuous"/>
      <protection/>
    </xf>
    <xf numFmtId="0" fontId="3" fillId="0" borderId="24" xfId="23" applyFont="1" applyBorder="1" applyAlignment="1">
      <alignment horizontal="center"/>
      <protection/>
    </xf>
    <xf numFmtId="49" fontId="3" fillId="0" borderId="21" xfId="23" applyNumberFormat="1" applyFont="1" applyBorder="1" applyAlignment="1">
      <alignment horizontal="center" vertical="top" wrapText="1"/>
      <protection/>
    </xf>
    <xf numFmtId="49" fontId="3" fillId="0" borderId="25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 applyAlignment="1">
      <alignment horizontal="center" vertical="center" wrapText="1"/>
      <protection/>
    </xf>
    <xf numFmtId="49" fontId="3" fillId="0" borderId="22" xfId="23" applyNumberFormat="1" applyFont="1" applyBorder="1" applyAlignment="1">
      <alignment horizontal="center" vertical="center" wrapText="1"/>
      <protection/>
    </xf>
    <xf numFmtId="0" fontId="3" fillId="0" borderId="22" xfId="23" applyFont="1" applyBorder="1" applyAlignment="1">
      <alignment horizontal="center" vertical="center" wrapText="1"/>
      <protection/>
    </xf>
    <xf numFmtId="49" fontId="3" fillId="0" borderId="24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>
      <alignment/>
      <protection/>
    </xf>
    <xf numFmtId="0" fontId="3" fillId="0" borderId="9" xfId="23" applyFont="1" applyBorder="1" applyAlignment="1">
      <alignment horizontal="center" wrapText="1"/>
      <protection/>
    </xf>
    <xf numFmtId="0" fontId="3" fillId="0" borderId="1" xfId="23" applyFont="1" applyBorder="1" applyAlignment="1">
      <alignment horizontal="center"/>
      <protection/>
    </xf>
    <xf numFmtId="0" fontId="3" fillId="0" borderId="10" xfId="23" applyFont="1" applyBorder="1" applyAlignment="1">
      <alignment horizontal="center"/>
      <protection/>
    </xf>
    <xf numFmtId="3" fontId="4" fillId="0" borderId="26" xfId="23" applyNumberFormat="1" applyFont="1" applyBorder="1">
      <alignment/>
      <protection/>
    </xf>
    <xf numFmtId="199" fontId="20" fillId="0" borderId="1" xfId="23" applyNumberFormat="1" applyFont="1" applyBorder="1">
      <alignment/>
      <protection/>
    </xf>
    <xf numFmtId="199" fontId="20" fillId="0" borderId="10" xfId="23" applyNumberFormat="1" applyFont="1" applyBorder="1">
      <alignment/>
      <protection/>
    </xf>
    <xf numFmtId="3" fontId="3" fillId="0" borderId="9" xfId="23" applyNumberFormat="1" applyFont="1" applyBorder="1">
      <alignment/>
      <protection/>
    </xf>
    <xf numFmtId="210" fontId="2" fillId="0" borderId="1" xfId="23" applyNumberFormat="1" applyFont="1" applyBorder="1">
      <alignment/>
      <protection/>
    </xf>
    <xf numFmtId="210" fontId="2" fillId="0" borderId="10" xfId="23" applyNumberFormat="1" applyFont="1" applyBorder="1">
      <alignment/>
      <protection/>
    </xf>
    <xf numFmtId="3" fontId="3" fillId="0" borderId="26" xfId="23" applyNumberFormat="1" applyFont="1" applyBorder="1">
      <alignment/>
      <protection/>
    </xf>
    <xf numFmtId="0" fontId="4" fillId="0" borderId="0" xfId="23" applyFont="1">
      <alignment/>
      <protection/>
    </xf>
    <xf numFmtId="0" fontId="4" fillId="0" borderId="27" xfId="23" applyFont="1" applyBorder="1" applyAlignment="1">
      <alignment horizontal="right" wrapText="1"/>
      <protection/>
    </xf>
    <xf numFmtId="210" fontId="2" fillId="0" borderId="12" xfId="23" applyNumberFormat="1" applyFont="1" applyBorder="1">
      <alignment/>
      <protection/>
    </xf>
    <xf numFmtId="210" fontId="2" fillId="0" borderId="13" xfId="23" applyNumberFormat="1" applyFont="1" applyBorder="1">
      <alignment/>
      <protection/>
    </xf>
    <xf numFmtId="0" fontId="3" fillId="0" borderId="0" xfId="23" applyFont="1" applyBorder="1" applyAlignment="1">
      <alignment/>
      <protection/>
    </xf>
    <xf numFmtId="0" fontId="2" fillId="0" borderId="0" xfId="23" applyFont="1" applyBorder="1">
      <alignment/>
      <protection/>
    </xf>
    <xf numFmtId="49" fontId="2" fillId="0" borderId="0" xfId="23" applyNumberFormat="1" applyFont="1" applyBorder="1" applyAlignment="1">
      <alignment/>
      <protection/>
    </xf>
    <xf numFmtId="49" fontId="2" fillId="0" borderId="0" xfId="23" applyNumberFormat="1" applyFont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center"/>
      <protection/>
    </xf>
    <xf numFmtId="0" fontId="20" fillId="0" borderId="0" xfId="23" applyFont="1" applyBorder="1" applyAlignment="1">
      <alignment wrapText="1"/>
      <protection/>
    </xf>
    <xf numFmtId="0" fontId="20" fillId="0" borderId="0" xfId="23" applyFont="1" applyBorder="1">
      <alignment/>
      <protection/>
    </xf>
    <xf numFmtId="0" fontId="2" fillId="0" borderId="0" xfId="23" applyFont="1" applyBorder="1" applyAlignment="1">
      <alignment horizontal="left"/>
      <protection/>
    </xf>
    <xf numFmtId="0" fontId="3" fillId="0" borderId="0" xfId="23" applyFont="1" applyAlignment="1">
      <alignment wrapText="1"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Continuous" wrapText="1"/>
      <protection/>
    </xf>
    <xf numFmtId="0" fontId="0" fillId="0" borderId="28" xfId="23" applyFont="1" applyBorder="1" applyAlignment="1">
      <alignment horizontal="center" vertical="top" wrapText="1"/>
      <protection/>
    </xf>
    <xf numFmtId="0" fontId="0" fillId="0" borderId="19" xfId="23" applyFont="1" applyBorder="1" applyAlignment="1">
      <alignment horizontal="center" vertical="top"/>
      <protection/>
    </xf>
    <xf numFmtId="0" fontId="0" fillId="0" borderId="19" xfId="23" applyFont="1" applyBorder="1" applyAlignment="1">
      <alignment horizontal="centerContinuous"/>
      <protection/>
    </xf>
    <xf numFmtId="0" fontId="0" fillId="0" borderId="18" xfId="23" applyFont="1" applyBorder="1" applyAlignment="1">
      <alignment horizontal="centerContinuous" vertical="center"/>
      <protection/>
    </xf>
    <xf numFmtId="0" fontId="0" fillId="0" borderId="17" xfId="23" applyFont="1" applyBorder="1" applyAlignment="1">
      <alignment horizontal="centerContinuous" vertical="center" wrapText="1"/>
      <protection/>
    </xf>
    <xf numFmtId="0" fontId="0" fillId="0" borderId="20" xfId="23" applyFont="1" applyBorder="1" applyAlignment="1">
      <alignment horizontal="center" vertical="top" wrapText="1"/>
      <protection/>
    </xf>
    <xf numFmtId="0" fontId="3" fillId="0" borderId="29" xfId="23" applyFont="1" applyBorder="1" applyAlignment="1">
      <alignment horizontal="center" vertical="top" wrapText="1"/>
      <protection/>
    </xf>
    <xf numFmtId="0" fontId="3" fillId="0" borderId="22" xfId="23" applyFont="1" applyBorder="1" applyAlignment="1">
      <alignment horizontal="center" vertical="top"/>
      <protection/>
    </xf>
    <xf numFmtId="0" fontId="3" fillId="0" borderId="3" xfId="23" applyFont="1" applyBorder="1" applyAlignment="1">
      <alignment horizontal="centerContinuous"/>
      <protection/>
    </xf>
    <xf numFmtId="0" fontId="3" fillId="0" borderId="4" xfId="23" applyFont="1" applyBorder="1" applyAlignment="1">
      <alignment horizontal="centerContinuous"/>
      <protection/>
    </xf>
    <xf numFmtId="0" fontId="3" fillId="0" borderId="24" xfId="23" applyFont="1" applyBorder="1" applyAlignment="1">
      <alignment/>
      <protection/>
    </xf>
    <xf numFmtId="0" fontId="3" fillId="0" borderId="22" xfId="23" applyFont="1" applyBorder="1" applyAlignment="1">
      <alignment horizontal="center" vertical="top" wrapText="1"/>
      <protection/>
    </xf>
    <xf numFmtId="0" fontId="3" fillId="0" borderId="24" xfId="23" applyFont="1" applyBorder="1" applyAlignment="1">
      <alignment horizontal="center" vertical="top" wrapText="1"/>
      <protection/>
    </xf>
    <xf numFmtId="0" fontId="3" fillId="0" borderId="9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wrapText="1"/>
      <protection/>
    </xf>
    <xf numFmtId="0" fontId="20" fillId="0" borderId="29" xfId="23" applyFont="1" applyBorder="1">
      <alignment/>
      <protection/>
    </xf>
    <xf numFmtId="0" fontId="4" fillId="0" borderId="9" xfId="23" applyFont="1" applyBorder="1" applyAlignment="1">
      <alignment horizontal="right" wrapText="1"/>
      <protection/>
    </xf>
    <xf numFmtId="3" fontId="22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4" fillId="0" borderId="11" xfId="23" applyFont="1" applyBorder="1" applyAlignment="1">
      <alignment horizontal="right" wrapText="1"/>
      <protection/>
    </xf>
    <xf numFmtId="0" fontId="2" fillId="0" borderId="0" xfId="23" applyFont="1" applyAlignment="1">
      <alignment wrapText="1"/>
      <protection/>
    </xf>
    <xf numFmtId="49" fontId="3" fillId="0" borderId="0" xfId="23" applyNumberFormat="1" applyFont="1" applyBorder="1" applyAlignment="1">
      <alignment vertical="top" wrapText="1"/>
      <protection/>
    </xf>
    <xf numFmtId="49" fontId="3" fillId="0" borderId="0" xfId="23" applyNumberFormat="1" applyFont="1" applyBorder="1" applyAlignment="1">
      <alignment horizontal="center" vertical="top" wrapText="1"/>
      <protection/>
    </xf>
    <xf numFmtId="0" fontId="3" fillId="0" borderId="0" xfId="23" applyFont="1" applyBorder="1" applyAlignment="1">
      <alignment horizontal="center"/>
      <protection/>
    </xf>
    <xf numFmtId="0" fontId="3" fillId="0" borderId="0" xfId="23" applyFont="1" applyBorder="1">
      <alignment/>
      <protection/>
    </xf>
    <xf numFmtId="49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>
      <alignment/>
      <protection/>
    </xf>
    <xf numFmtId="3" fontId="20" fillId="0" borderId="0" xfId="23" applyNumberFormat="1" applyFont="1" applyBorder="1">
      <alignment/>
      <protection/>
    </xf>
    <xf numFmtId="0" fontId="1" fillId="0" borderId="0" xfId="23" applyFont="1" applyAlignment="1">
      <alignment horizontal="center"/>
      <protection/>
    </xf>
    <xf numFmtId="0" fontId="2" fillId="0" borderId="5" xfId="23" applyFont="1" applyBorder="1">
      <alignment/>
      <protection/>
    </xf>
    <xf numFmtId="0" fontId="3" fillId="0" borderId="5" xfId="23" applyFont="1" applyBorder="1" applyAlignment="1">
      <alignment horizontal="right"/>
      <protection/>
    </xf>
    <xf numFmtId="0" fontId="0" fillId="0" borderId="6" xfId="23" applyFont="1" applyBorder="1" applyAlignment="1">
      <alignment horizontal="center" wrapText="1"/>
      <protection/>
    </xf>
    <xf numFmtId="3" fontId="2" fillId="0" borderId="8" xfId="23" applyNumberFormat="1" applyFont="1" applyBorder="1" applyAlignment="1">
      <alignment horizontal="center"/>
      <protection/>
    </xf>
    <xf numFmtId="0" fontId="0" fillId="0" borderId="9" xfId="23" applyFont="1" applyBorder="1" applyAlignment="1">
      <alignment horizontal="center" wrapText="1"/>
      <protection/>
    </xf>
    <xf numFmtId="3" fontId="2" fillId="0" borderId="10" xfId="23" applyNumberFormat="1" applyFont="1" applyBorder="1" applyAlignment="1">
      <alignment horizontal="center"/>
      <protection/>
    </xf>
    <xf numFmtId="0" fontId="2" fillId="0" borderId="1" xfId="23" applyFont="1" applyBorder="1">
      <alignment/>
      <protection/>
    </xf>
    <xf numFmtId="0" fontId="4" fillId="0" borderId="9" xfId="23" applyFont="1" applyBorder="1" applyAlignment="1">
      <alignment wrapText="1"/>
      <protection/>
    </xf>
    <xf numFmtId="3" fontId="8" fillId="0" borderId="10" xfId="23" applyNumberFormat="1" applyFont="1" applyBorder="1" applyAlignment="1">
      <alignment horizontal="right"/>
      <protection/>
    </xf>
    <xf numFmtId="0" fontId="0" fillId="0" borderId="9" xfId="23" applyFont="1" applyBorder="1" applyAlignment="1">
      <alignment wrapText="1"/>
      <protection/>
    </xf>
    <xf numFmtId="3" fontId="2" fillId="0" borderId="10" xfId="23" applyNumberFormat="1" applyFont="1" applyBorder="1" applyAlignment="1">
      <alignment horizontal="right"/>
      <protection/>
    </xf>
    <xf numFmtId="0" fontId="0" fillId="0" borderId="30" xfId="23" applyFont="1" applyBorder="1" applyAlignment="1">
      <alignment wrapText="1"/>
      <protection/>
    </xf>
    <xf numFmtId="3" fontId="2" fillId="0" borderId="31" xfId="23" applyNumberFormat="1" applyFont="1" applyBorder="1" applyAlignment="1">
      <alignment horizontal="right"/>
      <protection/>
    </xf>
    <xf numFmtId="0" fontId="0" fillId="0" borderId="32" xfId="23" applyFont="1" applyBorder="1" applyAlignment="1">
      <alignment wrapText="1"/>
      <protection/>
    </xf>
    <xf numFmtId="3" fontId="2" fillId="0" borderId="33" xfId="23" applyNumberFormat="1" applyFont="1" applyBorder="1" applyAlignment="1">
      <alignment horizontal="right"/>
      <protection/>
    </xf>
    <xf numFmtId="0" fontId="4" fillId="0" borderId="9" xfId="23" applyFont="1" applyBorder="1" applyAlignment="1">
      <alignment horizontal="left"/>
      <protection/>
    </xf>
    <xf numFmtId="0" fontId="4" fillId="0" borderId="11" xfId="23" applyFont="1" applyBorder="1" applyAlignment="1">
      <alignment horizontal="left"/>
      <protection/>
    </xf>
    <xf numFmtId="3" fontId="8" fillId="0" borderId="13" xfId="23" applyNumberFormat="1" applyFont="1" applyBorder="1" applyAlignment="1">
      <alignment horizontal="right"/>
      <protection/>
    </xf>
    <xf numFmtId="0" fontId="9" fillId="0" borderId="0" xfId="23" applyFont="1">
      <alignment/>
      <protection/>
    </xf>
    <xf numFmtId="3" fontId="2" fillId="0" borderId="0" xfId="23" applyNumberFormat="1" applyFont="1">
      <alignment/>
      <protection/>
    </xf>
    <xf numFmtId="3" fontId="2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Continuous" vertical="center" wrapText="1"/>
      <protection/>
    </xf>
    <xf numFmtId="0" fontId="20" fillId="0" borderId="1" xfId="23" applyFont="1" applyBorder="1" applyAlignment="1">
      <alignment horizontal="centerContinuous"/>
      <protection/>
    </xf>
    <xf numFmtId="164" fontId="3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 applyAlignment="1">
      <alignment horizontal="right"/>
      <protection/>
    </xf>
    <xf numFmtId="164" fontId="2" fillId="0" borderId="1" xfId="23" applyNumberFormat="1" applyFont="1" applyBorder="1">
      <alignment/>
      <protection/>
    </xf>
    <xf numFmtId="4" fontId="2" fillId="0" borderId="1" xfId="23" applyNumberFormat="1" applyFont="1" applyBorder="1">
      <alignment/>
      <protection/>
    </xf>
    <xf numFmtId="3" fontId="2" fillId="0" borderId="1" xfId="23" applyNumberFormat="1" applyFont="1" applyBorder="1" applyAlignment="1">
      <alignment horizontal="right"/>
      <protection/>
    </xf>
    <xf numFmtId="4" fontId="8" fillId="0" borderId="0" xfId="23" applyNumberFormat="1" applyFont="1" applyBorder="1">
      <alignment/>
      <protection/>
    </xf>
    <xf numFmtId="3" fontId="2" fillId="0" borderId="0" xfId="23" applyNumberFormat="1" applyFont="1" applyBorder="1" applyAlignment="1">
      <alignment horizontal="right"/>
      <protection/>
    </xf>
    <xf numFmtId="3" fontId="8" fillId="0" borderId="0" xfId="23" applyNumberFormat="1" applyFont="1" applyBorder="1" applyAlignment="1">
      <alignment horizontal="right"/>
      <protection/>
    </xf>
    <xf numFmtId="4" fontId="4" fillId="0" borderId="0" xfId="23" applyNumberFormat="1" applyFont="1" applyBorder="1">
      <alignment/>
      <protection/>
    </xf>
    <xf numFmtId="208" fontId="4" fillId="0" borderId="0" xfId="23" applyNumberFormat="1" applyFont="1" applyBorder="1">
      <alignment/>
      <protection/>
    </xf>
    <xf numFmtId="209" fontId="4" fillId="0" borderId="0" xfId="23" applyNumberFormat="1" applyFont="1" applyBorder="1">
      <alignment/>
      <protection/>
    </xf>
    <xf numFmtId="164" fontId="4" fillId="0" borderId="0" xfId="23" applyNumberFormat="1" applyFont="1" applyBorder="1">
      <alignment/>
      <protection/>
    </xf>
    <xf numFmtId="209" fontId="2" fillId="0" borderId="0" xfId="23" applyNumberFormat="1" applyFont="1" applyBorder="1">
      <alignment/>
      <protection/>
    </xf>
    <xf numFmtId="164" fontId="2" fillId="0" borderId="0" xfId="23" applyNumberFormat="1" applyFont="1" applyBorder="1">
      <alignment/>
      <protection/>
    </xf>
    <xf numFmtId="4" fontId="8" fillId="0" borderId="0" xfId="23" applyNumberFormat="1" applyFont="1">
      <alignment/>
      <protection/>
    </xf>
    <xf numFmtId="164" fontId="2" fillId="0" borderId="0" xfId="23" applyNumberFormat="1" applyFont="1">
      <alignment/>
      <protection/>
    </xf>
    <xf numFmtId="0" fontId="20" fillId="0" borderId="0" xfId="23" applyFont="1" applyAlignment="1">
      <alignment horizontal="right"/>
      <protection/>
    </xf>
    <xf numFmtId="0" fontId="7" fillId="0" borderId="0" xfId="23" applyFont="1" applyAlignment="1">
      <alignment horizontal="centerContinuous"/>
      <protection/>
    </xf>
    <xf numFmtId="0" fontId="4" fillId="0" borderId="1" xfId="23" applyFont="1" applyBorder="1" applyAlignment="1">
      <alignment wrapText="1"/>
      <protection/>
    </xf>
    <xf numFmtId="0" fontId="2" fillId="0" borderId="1" xfId="23" applyFont="1" applyBorder="1" applyAlignment="1">
      <alignment/>
      <protection/>
    </xf>
    <xf numFmtId="0" fontId="6" fillId="0" borderId="1" xfId="23" applyFont="1" applyBorder="1" applyAlignment="1">
      <alignment horizontal="center" wrapText="1"/>
      <protection/>
    </xf>
    <xf numFmtId="0" fontId="0" fillId="0" borderId="1" xfId="23" applyFont="1" applyBorder="1" applyAlignment="1">
      <alignment wrapText="1"/>
      <protection/>
    </xf>
    <xf numFmtId="0" fontId="8" fillId="0" borderId="1" xfId="23" applyFont="1" applyBorder="1" applyAlignment="1">
      <alignment wrapText="1"/>
      <protection/>
    </xf>
    <xf numFmtId="0" fontId="2" fillId="0" borderId="1" xfId="23" applyFont="1" applyBorder="1" applyAlignment="1">
      <alignment wrapText="1"/>
      <protection/>
    </xf>
    <xf numFmtId="0" fontId="20" fillId="0" borderId="1" xfId="23" applyFont="1" applyBorder="1">
      <alignment/>
      <protection/>
    </xf>
    <xf numFmtId="0" fontId="0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omma [0]_9910pasv budz" xfId="17"/>
    <cellStyle name="Comma_9910pasv budz" xfId="18"/>
    <cellStyle name="Currency" xfId="19"/>
    <cellStyle name="Currency [0]" xfId="20"/>
    <cellStyle name="Currency [0]_9910pasv budz" xfId="21"/>
    <cellStyle name="Currency_9910pasv budz" xfId="22"/>
    <cellStyle name="Normal_9910pasv budz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5" sqref="B5"/>
    </sheetView>
  </sheetViews>
  <sheetFormatPr defaultColWidth="9.140625" defaultRowHeight="36" customHeight="1"/>
  <cols>
    <col min="1" max="1" width="32.421875" style="0" customWidth="1"/>
    <col min="2" max="2" width="12.28125" style="0" customWidth="1"/>
    <col min="3" max="3" width="11.28125" style="0" customWidth="1"/>
    <col min="4" max="4" width="13.57421875" style="0" customWidth="1"/>
    <col min="5" max="5" width="10.57421875" style="0" customWidth="1"/>
  </cols>
  <sheetData>
    <row r="1" spans="1:5" ht="36" customHeight="1">
      <c r="A1" s="300" t="s">
        <v>0</v>
      </c>
      <c r="B1" s="300"/>
      <c r="C1" s="300"/>
      <c r="D1" s="300"/>
      <c r="E1" s="300"/>
    </row>
    <row r="2" spans="1:5" ht="12.75">
      <c r="A2" s="300"/>
      <c r="B2" s="300"/>
      <c r="C2" s="300"/>
      <c r="D2" s="300"/>
      <c r="E2" s="300"/>
    </row>
    <row r="3" spans="1:5" ht="12.75">
      <c r="A3" s="1"/>
      <c r="B3" s="2"/>
      <c r="C3" s="2"/>
      <c r="D3" s="2" t="s">
        <v>1</v>
      </c>
      <c r="E3" s="2"/>
    </row>
    <row r="4" spans="1:5" ht="44.2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5" ht="12.75">
      <c r="A5" s="6" t="s">
        <v>7</v>
      </c>
      <c r="B5" s="7">
        <v>1058350</v>
      </c>
      <c r="C5" s="8">
        <v>338709</v>
      </c>
      <c r="D5" s="7">
        <v>1397059</v>
      </c>
      <c r="E5" s="9">
        <v>147349</v>
      </c>
    </row>
    <row r="6" spans="1:5" ht="36" customHeight="1">
      <c r="A6" s="10" t="s">
        <v>8</v>
      </c>
      <c r="B6" s="11" t="s">
        <v>9</v>
      </c>
      <c r="C6" s="11" t="s">
        <v>9</v>
      </c>
      <c r="D6" s="12">
        <v>82880</v>
      </c>
      <c r="E6" s="13">
        <v>8616</v>
      </c>
    </row>
    <row r="7" spans="1:5" ht="36" customHeight="1">
      <c r="A7" s="10" t="s">
        <v>10</v>
      </c>
      <c r="B7" s="11" t="s">
        <v>9</v>
      </c>
      <c r="C7" s="11" t="s">
        <v>9</v>
      </c>
      <c r="D7" s="12">
        <v>17201</v>
      </c>
      <c r="E7" s="13">
        <v>1305</v>
      </c>
    </row>
    <row r="8" spans="1:5" ht="12.75">
      <c r="A8" s="14" t="s">
        <v>11</v>
      </c>
      <c r="B8" s="15" t="s">
        <v>9</v>
      </c>
      <c r="C8" s="15" t="s">
        <v>9</v>
      </c>
      <c r="D8" s="7">
        <v>1296978</v>
      </c>
      <c r="E8" s="9">
        <v>137428</v>
      </c>
    </row>
    <row r="9" spans="1:5" ht="12.75">
      <c r="A9" s="6" t="s">
        <v>12</v>
      </c>
      <c r="B9" s="7">
        <v>1151548</v>
      </c>
      <c r="C9" s="8">
        <v>340205</v>
      </c>
      <c r="D9" s="7">
        <v>1491753</v>
      </c>
      <c r="E9" s="9">
        <v>156781</v>
      </c>
    </row>
    <row r="10" spans="1:5" ht="22.5">
      <c r="A10" s="10" t="s">
        <v>13</v>
      </c>
      <c r="B10" s="11" t="s">
        <v>9</v>
      </c>
      <c r="C10" s="11" t="s">
        <v>9</v>
      </c>
      <c r="D10" s="12">
        <v>82880</v>
      </c>
      <c r="E10" s="13">
        <v>8616</v>
      </c>
    </row>
    <row r="11" spans="1:5" ht="22.5">
      <c r="A11" s="10" t="s">
        <v>14</v>
      </c>
      <c r="B11" s="11" t="s">
        <v>9</v>
      </c>
      <c r="C11" s="11" t="s">
        <v>9</v>
      </c>
      <c r="D11" s="12">
        <v>17201</v>
      </c>
      <c r="E11" s="13">
        <v>1305</v>
      </c>
    </row>
    <row r="12" spans="1:5" ht="12.75">
      <c r="A12" s="14" t="s">
        <v>15</v>
      </c>
      <c r="B12" s="15" t="s">
        <v>9</v>
      </c>
      <c r="C12" s="15" t="s">
        <v>9</v>
      </c>
      <c r="D12" s="7">
        <v>1391672</v>
      </c>
      <c r="E12" s="9">
        <v>146860</v>
      </c>
    </row>
    <row r="13" spans="1:5" ht="25.5">
      <c r="A13" s="14" t="s">
        <v>16</v>
      </c>
      <c r="B13" s="7">
        <v>-93198</v>
      </c>
      <c r="C13" s="8">
        <v>-1496</v>
      </c>
      <c r="D13" s="7">
        <v>-94694</v>
      </c>
      <c r="E13" s="9">
        <v>-9432</v>
      </c>
    </row>
    <row r="14" spans="1:5" ht="12.75">
      <c r="A14" s="16" t="s">
        <v>17</v>
      </c>
      <c r="B14" s="8">
        <v>9872</v>
      </c>
      <c r="C14" s="8">
        <v>3071</v>
      </c>
      <c r="D14" s="8">
        <v>12015</v>
      </c>
      <c r="E14" s="9">
        <v>2259</v>
      </c>
    </row>
    <row r="15" spans="1:5" ht="12.75">
      <c r="A15" s="17" t="s">
        <v>18</v>
      </c>
      <c r="B15" s="18">
        <v>26478</v>
      </c>
      <c r="C15" s="19">
        <v>6792</v>
      </c>
      <c r="D15" s="18">
        <v>33270</v>
      </c>
      <c r="E15" s="20">
        <v>3748</v>
      </c>
    </row>
    <row r="16" spans="1:5" ht="22.5">
      <c r="A16" s="10" t="s">
        <v>19</v>
      </c>
      <c r="B16" s="11" t="s">
        <v>9</v>
      </c>
      <c r="C16" s="11" t="s">
        <v>9</v>
      </c>
      <c r="D16" s="12">
        <v>8273</v>
      </c>
      <c r="E16" s="13">
        <v>971</v>
      </c>
    </row>
    <row r="17" spans="1:5" ht="12.75">
      <c r="A17" s="16" t="s">
        <v>20</v>
      </c>
      <c r="B17" s="15" t="s">
        <v>9</v>
      </c>
      <c r="C17" s="15" t="s">
        <v>9</v>
      </c>
      <c r="D17" s="7">
        <v>24997</v>
      </c>
      <c r="E17" s="9">
        <v>2777</v>
      </c>
    </row>
    <row r="18" spans="1:5" ht="12.75">
      <c r="A18" s="17" t="s">
        <v>21</v>
      </c>
      <c r="B18" s="18">
        <v>16606</v>
      </c>
      <c r="C18" s="19">
        <v>3721</v>
      </c>
      <c r="D18" s="18">
        <v>20327</v>
      </c>
      <c r="E18" s="20">
        <v>836</v>
      </c>
    </row>
    <row r="19" spans="1:5" ht="22.5">
      <c r="A19" s="10" t="s">
        <v>22</v>
      </c>
      <c r="B19" s="21" t="s">
        <v>9</v>
      </c>
      <c r="C19" s="21" t="s">
        <v>9</v>
      </c>
      <c r="D19" s="12">
        <v>7345</v>
      </c>
      <c r="E19" s="13">
        <v>318</v>
      </c>
    </row>
    <row r="20" spans="1:5" ht="12.75">
      <c r="A20" s="16" t="s">
        <v>23</v>
      </c>
      <c r="B20" s="15" t="s">
        <v>9</v>
      </c>
      <c r="C20" s="15" t="s">
        <v>9</v>
      </c>
      <c r="D20" s="7">
        <v>12982</v>
      </c>
      <c r="E20" s="9">
        <v>518</v>
      </c>
    </row>
    <row r="21" spans="1:5" ht="25.5">
      <c r="A21" s="14" t="s">
        <v>24</v>
      </c>
      <c r="B21" s="8">
        <v>-103070</v>
      </c>
      <c r="C21" s="8">
        <v>-4567</v>
      </c>
      <c r="D21" s="7">
        <v>-106709</v>
      </c>
      <c r="E21" s="9">
        <v>-11691</v>
      </c>
    </row>
    <row r="22" spans="1:5" ht="12.75">
      <c r="A22" s="6" t="s">
        <v>25</v>
      </c>
      <c r="B22" s="7">
        <v>103070</v>
      </c>
      <c r="C22" s="8">
        <v>4567</v>
      </c>
      <c r="D22" s="7">
        <v>106709</v>
      </c>
      <c r="E22" s="9">
        <v>11691</v>
      </c>
    </row>
    <row r="23" spans="1:5" ht="12.75">
      <c r="A23" s="6" t="s">
        <v>26</v>
      </c>
      <c r="B23" s="7">
        <v>-27561</v>
      </c>
      <c r="C23" s="8">
        <v>4567</v>
      </c>
      <c r="D23" s="8">
        <v>-23922</v>
      </c>
      <c r="E23" s="9">
        <v>-33646</v>
      </c>
    </row>
    <row r="24" spans="1:5" ht="12.75">
      <c r="A24" s="22" t="s">
        <v>27</v>
      </c>
      <c r="B24" s="23">
        <v>5161</v>
      </c>
      <c r="C24" s="23">
        <v>2114</v>
      </c>
      <c r="D24" s="23">
        <v>6347</v>
      </c>
      <c r="E24" s="24">
        <v>1601</v>
      </c>
    </row>
    <row r="25" spans="1:5" ht="22.5">
      <c r="A25" s="10" t="s">
        <v>28</v>
      </c>
      <c r="B25" s="12">
        <v>5161</v>
      </c>
      <c r="C25" s="25">
        <v>1186</v>
      </c>
      <c r="D25" s="12">
        <v>6347</v>
      </c>
      <c r="E25" s="13">
        <v>1601</v>
      </c>
    </row>
    <row r="26" spans="1:5" ht="22.5">
      <c r="A26" s="10" t="s">
        <v>29</v>
      </c>
      <c r="B26" s="12"/>
      <c r="C26" s="25">
        <v>928</v>
      </c>
      <c r="D26" s="12">
        <v>928</v>
      </c>
      <c r="E26" s="13">
        <v>653</v>
      </c>
    </row>
    <row r="27" spans="1:5" ht="22.5">
      <c r="A27" s="26" t="s">
        <v>30</v>
      </c>
      <c r="B27" s="21" t="s">
        <v>9</v>
      </c>
      <c r="C27" s="21" t="s">
        <v>9</v>
      </c>
      <c r="D27" s="27">
        <v>-928</v>
      </c>
      <c r="E27" s="24">
        <v>-653</v>
      </c>
    </row>
    <row r="28" spans="1:5" ht="22.5">
      <c r="A28" s="10" t="s">
        <v>31</v>
      </c>
      <c r="B28" s="21" t="s">
        <v>9</v>
      </c>
      <c r="C28" s="21" t="s">
        <v>9</v>
      </c>
      <c r="D28" s="27"/>
      <c r="E28" s="24">
        <v>0</v>
      </c>
    </row>
    <row r="29" spans="1:5" ht="12.75">
      <c r="A29" s="28" t="s">
        <v>32</v>
      </c>
      <c r="B29" s="27">
        <v>-27869</v>
      </c>
      <c r="C29" s="23">
        <v>0</v>
      </c>
      <c r="D29" s="27">
        <v>-27869</v>
      </c>
      <c r="E29" s="24">
        <v>-34241</v>
      </c>
    </row>
    <row r="30" spans="1:5" ht="12.75">
      <c r="A30" s="10" t="s">
        <v>33</v>
      </c>
      <c r="B30" s="12"/>
      <c r="C30" s="23"/>
      <c r="D30" s="12">
        <v>0</v>
      </c>
      <c r="E30" s="13">
        <v>0</v>
      </c>
    </row>
    <row r="31" spans="1:5" ht="12.75">
      <c r="A31" s="10" t="s">
        <v>34</v>
      </c>
      <c r="B31" s="12">
        <v>-32449</v>
      </c>
      <c r="C31" s="25"/>
      <c r="D31" s="12">
        <v>-32449</v>
      </c>
      <c r="E31" s="13">
        <v>-22001</v>
      </c>
    </row>
    <row r="32" spans="1:5" ht="22.5">
      <c r="A32" s="10" t="s">
        <v>35</v>
      </c>
      <c r="B32" s="12">
        <v>-4888</v>
      </c>
      <c r="C32" s="25"/>
      <c r="D32" s="12">
        <v>-4888</v>
      </c>
      <c r="E32" s="13">
        <v>-5499</v>
      </c>
    </row>
    <row r="33" spans="1:5" ht="12.75">
      <c r="A33" s="10" t="s">
        <v>36</v>
      </c>
      <c r="B33" s="12">
        <v>9468</v>
      </c>
      <c r="C33" s="25"/>
      <c r="D33" s="12">
        <v>9468</v>
      </c>
      <c r="E33" s="13">
        <v>-6741</v>
      </c>
    </row>
    <row r="34" spans="1:5" ht="12.75">
      <c r="A34" s="29" t="s">
        <v>37</v>
      </c>
      <c r="B34" s="27">
        <v>7147</v>
      </c>
      <c r="C34" s="25">
        <v>503</v>
      </c>
      <c r="D34" s="27">
        <v>7650</v>
      </c>
      <c r="E34" s="24">
        <v>3674</v>
      </c>
    </row>
    <row r="35" spans="1:5" ht="12.75">
      <c r="A35" s="11" t="s">
        <v>38</v>
      </c>
      <c r="B35" s="12">
        <v>4000</v>
      </c>
      <c r="C35" s="25">
        <v>287</v>
      </c>
      <c r="D35" s="12">
        <v>4287</v>
      </c>
      <c r="E35" s="13">
        <v>4036</v>
      </c>
    </row>
    <row r="36" spans="1:5" ht="12.75">
      <c r="A36" s="11" t="s">
        <v>34</v>
      </c>
      <c r="B36" s="12">
        <v>-746</v>
      </c>
      <c r="C36" s="25"/>
      <c r="D36" s="12">
        <v>-746</v>
      </c>
      <c r="E36" s="13">
        <v>-3183</v>
      </c>
    </row>
    <row r="37" spans="1:5" ht="22.5">
      <c r="A37" s="10" t="s">
        <v>35</v>
      </c>
      <c r="B37" s="12">
        <v>3893</v>
      </c>
      <c r="C37" s="25">
        <v>216</v>
      </c>
      <c r="D37" s="12">
        <v>4109</v>
      </c>
      <c r="E37" s="13">
        <v>2821</v>
      </c>
    </row>
    <row r="38" spans="1:5" ht="12.75">
      <c r="A38" s="29" t="s">
        <v>39</v>
      </c>
      <c r="B38" s="27">
        <v>-12000</v>
      </c>
      <c r="C38" s="23">
        <v>1950</v>
      </c>
      <c r="D38" s="12">
        <v>-10050</v>
      </c>
      <c r="E38" s="13">
        <v>-4680</v>
      </c>
    </row>
    <row r="39" spans="1:5" ht="12.75">
      <c r="A39" s="30" t="s">
        <v>40</v>
      </c>
      <c r="B39" s="7">
        <v>130631</v>
      </c>
      <c r="C39" s="8"/>
      <c r="D39" s="7">
        <v>130631</v>
      </c>
      <c r="E39" s="9">
        <v>45337</v>
      </c>
    </row>
    <row r="40" spans="1:5" ht="12.75">
      <c r="A40" s="31" t="s">
        <v>41</v>
      </c>
      <c r="B40" s="32"/>
      <c r="C40" s="33"/>
      <c r="D40" s="34"/>
      <c r="E40" s="35"/>
    </row>
    <row r="41" spans="1:5" ht="36" customHeight="1">
      <c r="A41" s="36"/>
      <c r="B41" s="37"/>
      <c r="C41" s="33"/>
      <c r="D41" s="38"/>
      <c r="E41" s="39"/>
    </row>
    <row r="42" spans="1:5" ht="36" customHeight="1">
      <c r="A42" s="301"/>
      <c r="B42" s="301"/>
      <c r="C42" s="301"/>
      <c r="D42" s="301"/>
      <c r="E42" s="35"/>
    </row>
    <row r="43" spans="1:5" ht="12.75">
      <c r="A43" s="41" t="s">
        <v>42</v>
      </c>
      <c r="B43" s="40"/>
      <c r="C43" s="40"/>
      <c r="D43" s="40"/>
      <c r="E43" s="42"/>
    </row>
    <row r="44" spans="1:5" ht="13.5" customHeight="1">
      <c r="A44" s="40"/>
      <c r="B44" s="40"/>
      <c r="C44" s="40"/>
      <c r="D44" s="40"/>
      <c r="E44" s="35"/>
    </row>
    <row r="45" spans="1:5" ht="12.75">
      <c r="A45" s="43"/>
      <c r="B45" s="43"/>
      <c r="C45" s="44"/>
      <c r="D45" s="45"/>
      <c r="E45" s="46"/>
    </row>
    <row r="46" spans="1:5" ht="12.75">
      <c r="A46" s="43"/>
      <c r="B46" s="43"/>
      <c r="C46" s="31"/>
      <c r="D46" s="43"/>
      <c r="E46" s="47"/>
    </row>
    <row r="47" spans="1:5" ht="12.75">
      <c r="A47" s="43" t="s">
        <v>43</v>
      </c>
      <c r="B47" s="32"/>
      <c r="C47" s="33"/>
      <c r="D47" s="34"/>
      <c r="E47" s="35"/>
    </row>
    <row r="48" spans="1:5" ht="12.75">
      <c r="A48" s="43" t="s">
        <v>44</v>
      </c>
      <c r="B48" s="32"/>
      <c r="C48" s="33"/>
      <c r="D48" s="34"/>
      <c r="E48" s="35"/>
    </row>
  </sheetData>
  <mergeCells count="2">
    <mergeCell ref="A1:E2"/>
    <mergeCell ref="A42:D4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workbookViewId="0" topLeftCell="G1">
      <selection activeCell="I14" sqref="I14"/>
    </sheetView>
  </sheetViews>
  <sheetFormatPr defaultColWidth="9.140625" defaultRowHeight="12.75"/>
  <cols>
    <col min="1" max="1" width="34.7109375" style="2" hidden="1" customWidth="1"/>
    <col min="2" max="2" width="9.00390625" style="2" hidden="1" customWidth="1"/>
    <col min="3" max="3" width="12.8515625" style="2" hidden="1" customWidth="1"/>
    <col min="4" max="4" width="11.7109375" style="2" hidden="1" customWidth="1"/>
    <col min="5" max="5" width="9.7109375" style="2" hidden="1" customWidth="1"/>
    <col min="6" max="6" width="10.7109375" style="2" hidden="1" customWidth="1"/>
    <col min="7" max="7" width="31.28125" style="2" customWidth="1"/>
    <col min="8" max="8" width="7.28125" style="2" customWidth="1"/>
    <col min="9" max="9" width="10.7109375" style="2" customWidth="1"/>
    <col min="10" max="10" width="7.7109375" style="2" customWidth="1"/>
    <col min="11" max="11" width="7.28125" style="2" customWidth="1"/>
    <col min="12" max="12" width="10.7109375" style="2" customWidth="1"/>
    <col min="13" max="16384" width="7.8515625" style="2" customWidth="1"/>
  </cols>
  <sheetData>
    <row r="1" spans="3:10" ht="12.75">
      <c r="C1" s="48"/>
      <c r="D1" s="48"/>
      <c r="I1" s="48"/>
      <c r="J1" s="48"/>
    </row>
    <row r="2" spans="1:12" ht="12.75">
      <c r="A2" s="48" t="s">
        <v>417</v>
      </c>
      <c r="C2" s="48"/>
      <c r="D2" s="48"/>
      <c r="E2" s="48"/>
      <c r="F2" s="41" t="s">
        <v>418</v>
      </c>
      <c r="G2" s="48" t="s">
        <v>417</v>
      </c>
      <c r="I2" s="48"/>
      <c r="J2" s="48"/>
      <c r="K2" s="48"/>
      <c r="L2" s="227" t="s">
        <v>418</v>
      </c>
    </row>
    <row r="4" spans="1:12" ht="15.75">
      <c r="A4" s="87" t="s">
        <v>419</v>
      </c>
      <c r="G4" s="302" t="s">
        <v>420</v>
      </c>
      <c r="H4" s="302"/>
      <c r="I4" s="302"/>
      <c r="J4" s="302"/>
      <c r="K4" s="302"/>
      <c r="L4" s="302"/>
    </row>
    <row r="5" spans="1:12" ht="15.75">
      <c r="A5" s="87" t="s">
        <v>421</v>
      </c>
      <c r="G5" s="302" t="s">
        <v>180</v>
      </c>
      <c r="H5" s="302"/>
      <c r="I5" s="302"/>
      <c r="J5" s="302"/>
      <c r="K5" s="302"/>
      <c r="L5" s="302"/>
    </row>
    <row r="7" spans="6:12" ht="12">
      <c r="F7" s="294"/>
      <c r="L7" s="294"/>
    </row>
    <row r="8" spans="4:12" ht="12.75">
      <c r="D8" s="48"/>
      <c r="F8" s="81" t="s">
        <v>140</v>
      </c>
      <c r="J8" s="48"/>
      <c r="L8" s="282" t="s">
        <v>140</v>
      </c>
    </row>
    <row r="9" spans="1:12" ht="60" customHeight="1">
      <c r="A9" s="283" t="s">
        <v>2</v>
      </c>
      <c r="B9" s="284" t="s">
        <v>394</v>
      </c>
      <c r="C9" s="284" t="s">
        <v>49</v>
      </c>
      <c r="D9" s="284" t="s">
        <v>50</v>
      </c>
      <c r="E9" s="284" t="s">
        <v>395</v>
      </c>
      <c r="F9" s="295" t="s">
        <v>422</v>
      </c>
      <c r="G9" s="283" t="s">
        <v>2</v>
      </c>
      <c r="H9" s="284" t="s">
        <v>394</v>
      </c>
      <c r="I9" s="284" t="s">
        <v>49</v>
      </c>
      <c r="J9" s="284" t="s">
        <v>50</v>
      </c>
      <c r="K9" s="284" t="s">
        <v>395</v>
      </c>
      <c r="L9" s="284" t="s">
        <v>422</v>
      </c>
    </row>
    <row r="10" spans="1:12" ht="12" customHeight="1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296">
        <v>6</v>
      </c>
      <c r="G10" s="3">
        <v>1</v>
      </c>
      <c r="H10" s="3">
        <v>2</v>
      </c>
      <c r="I10" s="4">
        <v>3</v>
      </c>
      <c r="J10" s="4">
        <v>4</v>
      </c>
      <c r="K10" s="4">
        <v>5</v>
      </c>
      <c r="L10" s="95">
        <v>6</v>
      </c>
    </row>
    <row r="11" spans="1:12" ht="18" customHeight="1">
      <c r="A11" s="285" t="s">
        <v>280</v>
      </c>
      <c r="B11" s="167"/>
      <c r="C11" s="140">
        <v>862712993</v>
      </c>
      <c r="D11" s="140">
        <v>652251046</v>
      </c>
      <c r="E11" s="286">
        <v>0.756</v>
      </c>
      <c r="F11" s="235">
        <v>8101570</v>
      </c>
      <c r="G11" s="285" t="s">
        <v>280</v>
      </c>
      <c r="H11" s="167"/>
      <c r="I11" s="243">
        <v>862713</v>
      </c>
      <c r="J11" s="243">
        <v>652251</v>
      </c>
      <c r="K11" s="56">
        <v>0.756</v>
      </c>
      <c r="L11" s="243">
        <v>8101</v>
      </c>
    </row>
    <row r="12" spans="1:12" ht="18" customHeight="1">
      <c r="A12" s="205" t="s">
        <v>396</v>
      </c>
      <c r="B12" s="288">
        <v>1</v>
      </c>
      <c r="C12" s="289">
        <v>122568</v>
      </c>
      <c r="D12" s="289">
        <v>28881</v>
      </c>
      <c r="E12" s="290">
        <v>0.2356</v>
      </c>
      <c r="F12" s="297">
        <v>4469008</v>
      </c>
      <c r="G12" s="165" t="s">
        <v>396</v>
      </c>
      <c r="H12" s="291">
        <v>1</v>
      </c>
      <c r="I12" s="188">
        <v>123</v>
      </c>
      <c r="J12" s="188">
        <v>29</v>
      </c>
      <c r="K12" s="63">
        <v>0.236</v>
      </c>
      <c r="L12" s="188">
        <v>4469</v>
      </c>
    </row>
    <row r="13" spans="1:12" ht="18.75" customHeight="1">
      <c r="A13" s="65" t="s">
        <v>397</v>
      </c>
      <c r="B13" s="288">
        <v>2</v>
      </c>
      <c r="C13" s="289"/>
      <c r="D13" s="289"/>
      <c r="E13" s="290" t="s">
        <v>63</v>
      </c>
      <c r="F13" s="298">
        <v>161136</v>
      </c>
      <c r="G13" s="64" t="s">
        <v>397</v>
      </c>
      <c r="H13" s="291">
        <v>2</v>
      </c>
      <c r="I13" s="188">
        <v>0</v>
      </c>
      <c r="J13" s="188">
        <v>0</v>
      </c>
      <c r="K13" s="63" t="s">
        <v>63</v>
      </c>
      <c r="L13" s="188">
        <v>161</v>
      </c>
    </row>
    <row r="14" spans="1:12" ht="17.25" customHeight="1">
      <c r="A14" s="65" t="s">
        <v>398</v>
      </c>
      <c r="B14" s="288">
        <v>3</v>
      </c>
      <c r="C14" s="289"/>
      <c r="D14" s="289"/>
      <c r="E14" s="290" t="s">
        <v>63</v>
      </c>
      <c r="F14" s="298">
        <v>268778</v>
      </c>
      <c r="G14" s="64" t="s">
        <v>398</v>
      </c>
      <c r="H14" s="291">
        <v>3</v>
      </c>
      <c r="I14" s="188">
        <v>0</v>
      </c>
      <c r="J14" s="188">
        <v>0</v>
      </c>
      <c r="K14" s="63" t="s">
        <v>63</v>
      </c>
      <c r="L14" s="188">
        <v>269</v>
      </c>
    </row>
    <row r="15" spans="1:12" ht="16.5" customHeight="1">
      <c r="A15" s="65" t="s">
        <v>423</v>
      </c>
      <c r="B15" s="288">
        <v>4</v>
      </c>
      <c r="C15" s="289">
        <v>4013230</v>
      </c>
      <c r="D15" s="289">
        <v>2157551</v>
      </c>
      <c r="E15" s="290">
        <v>0.5376</v>
      </c>
      <c r="F15" s="298">
        <v>1697029</v>
      </c>
      <c r="G15" s="64" t="s">
        <v>424</v>
      </c>
      <c r="H15" s="291">
        <v>4</v>
      </c>
      <c r="I15" s="188">
        <v>4013</v>
      </c>
      <c r="J15" s="188">
        <v>2157</v>
      </c>
      <c r="K15" s="63">
        <v>0.538</v>
      </c>
      <c r="L15" s="188">
        <v>1697</v>
      </c>
    </row>
    <row r="16" spans="1:12" ht="18.75" customHeight="1">
      <c r="A16" s="65" t="s">
        <v>400</v>
      </c>
      <c r="B16" s="288">
        <v>5</v>
      </c>
      <c r="C16" s="289">
        <v>143111169</v>
      </c>
      <c r="D16" s="289">
        <v>112760294</v>
      </c>
      <c r="E16" s="290">
        <v>0.7879</v>
      </c>
      <c r="F16" s="298">
        <v>244711</v>
      </c>
      <c r="G16" s="64" t="s">
        <v>400</v>
      </c>
      <c r="H16" s="291">
        <v>5</v>
      </c>
      <c r="I16" s="188">
        <v>143111</v>
      </c>
      <c r="J16" s="188">
        <v>112760</v>
      </c>
      <c r="K16" s="63">
        <v>0.788</v>
      </c>
      <c r="L16" s="188">
        <v>245</v>
      </c>
    </row>
    <row r="17" spans="1:12" ht="18" customHeight="1">
      <c r="A17" s="65" t="s">
        <v>401</v>
      </c>
      <c r="B17" s="288">
        <v>6</v>
      </c>
      <c r="C17" s="289">
        <v>523210392</v>
      </c>
      <c r="D17" s="289">
        <v>426599988</v>
      </c>
      <c r="E17" s="290">
        <v>0.8154</v>
      </c>
      <c r="F17" s="298">
        <v>409259</v>
      </c>
      <c r="G17" s="64" t="s">
        <v>401</v>
      </c>
      <c r="H17" s="291">
        <v>6</v>
      </c>
      <c r="I17" s="188">
        <v>523210</v>
      </c>
      <c r="J17" s="188">
        <v>426600</v>
      </c>
      <c r="K17" s="63">
        <v>0.815</v>
      </c>
      <c r="L17" s="188">
        <v>409</v>
      </c>
    </row>
    <row r="18" spans="1:12" ht="24" customHeight="1">
      <c r="A18" s="66" t="s">
        <v>402</v>
      </c>
      <c r="B18" s="288">
        <v>7</v>
      </c>
      <c r="C18" s="289">
        <v>9102520</v>
      </c>
      <c r="D18" s="289">
        <v>7182990</v>
      </c>
      <c r="E18" s="290">
        <v>0.7891</v>
      </c>
      <c r="F18" s="298">
        <v>99773</v>
      </c>
      <c r="G18" s="115" t="s">
        <v>402</v>
      </c>
      <c r="H18" s="291">
        <v>7</v>
      </c>
      <c r="I18" s="188">
        <v>9103</v>
      </c>
      <c r="J18" s="188">
        <v>7183</v>
      </c>
      <c r="K18" s="63">
        <v>0.789</v>
      </c>
      <c r="L18" s="188">
        <v>100</v>
      </c>
    </row>
    <row r="19" spans="1:12" ht="15.75" customHeight="1">
      <c r="A19" s="65" t="s">
        <v>403</v>
      </c>
      <c r="B19" s="288">
        <v>8</v>
      </c>
      <c r="C19" s="289">
        <v>5043726</v>
      </c>
      <c r="D19" s="289">
        <v>3991827</v>
      </c>
      <c r="E19" s="290">
        <v>0.7914</v>
      </c>
      <c r="F19" s="298">
        <v>412346</v>
      </c>
      <c r="G19" s="64" t="s">
        <v>403</v>
      </c>
      <c r="H19" s="291">
        <v>8</v>
      </c>
      <c r="I19" s="188">
        <v>5044</v>
      </c>
      <c r="J19" s="188">
        <v>3992</v>
      </c>
      <c r="K19" s="63">
        <v>0.791</v>
      </c>
      <c r="L19" s="188">
        <v>412</v>
      </c>
    </row>
    <row r="20" spans="1:12" ht="20.25" customHeight="1">
      <c r="A20" s="65" t="s">
        <v>404</v>
      </c>
      <c r="B20" s="288">
        <v>9</v>
      </c>
      <c r="C20" s="289"/>
      <c r="D20" s="289"/>
      <c r="E20" s="290" t="s">
        <v>63</v>
      </c>
      <c r="F20" s="298"/>
      <c r="G20" s="64" t="s">
        <v>404</v>
      </c>
      <c r="H20" s="291">
        <v>9</v>
      </c>
      <c r="I20" s="188">
        <v>0</v>
      </c>
      <c r="J20" s="188">
        <v>0</v>
      </c>
      <c r="K20" s="63" t="s">
        <v>63</v>
      </c>
      <c r="L20" s="188">
        <v>0</v>
      </c>
    </row>
    <row r="21" spans="1:12" ht="24.75" customHeight="1">
      <c r="A21" s="66" t="s">
        <v>405</v>
      </c>
      <c r="B21" s="288">
        <v>10</v>
      </c>
      <c r="C21" s="289">
        <v>23784500</v>
      </c>
      <c r="D21" s="289">
        <v>17128955</v>
      </c>
      <c r="E21" s="290">
        <v>0.7202</v>
      </c>
      <c r="F21" s="298">
        <v>322494</v>
      </c>
      <c r="G21" s="115" t="s">
        <v>405</v>
      </c>
      <c r="H21" s="291">
        <v>10</v>
      </c>
      <c r="I21" s="188">
        <v>23784</v>
      </c>
      <c r="J21" s="188">
        <v>17129</v>
      </c>
      <c r="K21" s="63">
        <v>0.72</v>
      </c>
      <c r="L21" s="188">
        <v>322</v>
      </c>
    </row>
    <row r="22" spans="1:12" ht="27.75" customHeight="1">
      <c r="A22" s="66" t="s">
        <v>406</v>
      </c>
      <c r="B22" s="288">
        <v>11</v>
      </c>
      <c r="C22" s="289"/>
      <c r="D22" s="289"/>
      <c r="E22" s="290" t="s">
        <v>63</v>
      </c>
      <c r="F22" s="298"/>
      <c r="G22" s="115" t="s">
        <v>406</v>
      </c>
      <c r="H22" s="291">
        <v>11</v>
      </c>
      <c r="I22" s="188">
        <v>0</v>
      </c>
      <c r="J22" s="188">
        <v>0</v>
      </c>
      <c r="K22" s="63" t="s">
        <v>63</v>
      </c>
      <c r="L22" s="188">
        <v>0</v>
      </c>
    </row>
    <row r="23" spans="1:12" ht="18" customHeight="1">
      <c r="A23" s="65" t="s">
        <v>407</v>
      </c>
      <c r="B23" s="288">
        <v>12</v>
      </c>
      <c r="C23" s="289">
        <v>105241801</v>
      </c>
      <c r="D23" s="289">
        <v>75144869</v>
      </c>
      <c r="E23" s="290">
        <v>0.714</v>
      </c>
      <c r="F23" s="298"/>
      <c r="G23" s="64" t="s">
        <v>407</v>
      </c>
      <c r="H23" s="291">
        <v>12</v>
      </c>
      <c r="I23" s="188">
        <v>105242</v>
      </c>
      <c r="J23" s="188">
        <v>75145</v>
      </c>
      <c r="K23" s="63">
        <v>0.714</v>
      </c>
      <c r="L23" s="188">
        <v>0</v>
      </c>
    </row>
    <row r="24" spans="1:12" ht="18.75" customHeight="1">
      <c r="A24" s="65" t="s">
        <v>408</v>
      </c>
      <c r="B24" s="288">
        <v>13</v>
      </c>
      <c r="C24" s="289">
        <v>49083087</v>
      </c>
      <c r="D24" s="289">
        <v>7255691</v>
      </c>
      <c r="E24" s="290">
        <v>0.1478</v>
      </c>
      <c r="F24" s="298">
        <v>17036</v>
      </c>
      <c r="G24" s="64" t="s">
        <v>408</v>
      </c>
      <c r="H24" s="291">
        <v>13</v>
      </c>
      <c r="I24" s="188">
        <v>49083</v>
      </c>
      <c r="J24" s="188">
        <v>7256</v>
      </c>
      <c r="K24" s="63">
        <v>0.148</v>
      </c>
      <c r="L24" s="188">
        <v>17</v>
      </c>
    </row>
    <row r="25" spans="1:12" ht="24" customHeight="1">
      <c r="A25" s="66" t="s">
        <v>409</v>
      </c>
      <c r="B25" s="288">
        <v>14</v>
      </c>
      <c r="C25" s="289"/>
      <c r="D25" s="289"/>
      <c r="E25" s="290" t="s">
        <v>63</v>
      </c>
      <c r="F25" s="298"/>
      <c r="G25" s="115" t="s">
        <v>409</v>
      </c>
      <c r="H25" s="291">
        <v>14</v>
      </c>
      <c r="I25" s="188">
        <v>0</v>
      </c>
      <c r="J25" s="188">
        <v>0</v>
      </c>
      <c r="K25" s="63" t="s">
        <v>63</v>
      </c>
      <c r="L25" s="188">
        <v>0</v>
      </c>
    </row>
    <row r="26" spans="2:11" ht="12.75">
      <c r="B26" s="254"/>
      <c r="C26" s="34"/>
      <c r="D26" s="34"/>
      <c r="E26" s="131"/>
      <c r="H26" s="254"/>
      <c r="I26" s="34"/>
      <c r="J26" s="34"/>
      <c r="K26" s="131"/>
    </row>
    <row r="27" spans="1:11" ht="14.25">
      <c r="A27" s="91"/>
      <c r="B27" s="292"/>
      <c r="C27" s="34"/>
      <c r="D27" s="34"/>
      <c r="E27" s="131"/>
      <c r="G27" s="91"/>
      <c r="H27" s="292"/>
      <c r="I27" s="34"/>
      <c r="J27" s="34"/>
      <c r="K27" s="131"/>
    </row>
    <row r="28" spans="1:11" ht="14.25">
      <c r="A28" s="91"/>
      <c r="B28" s="292"/>
      <c r="C28" s="34"/>
      <c r="D28" s="34"/>
      <c r="E28" s="131"/>
      <c r="G28" s="91"/>
      <c r="H28" s="292"/>
      <c r="I28" s="34"/>
      <c r="J28" s="34"/>
      <c r="K28" s="131"/>
    </row>
    <row r="29" spans="1:11" ht="14.25">
      <c r="A29" s="91"/>
      <c r="B29" s="292"/>
      <c r="C29" s="34"/>
      <c r="D29" s="34"/>
      <c r="E29" s="131"/>
      <c r="G29" s="2" t="s">
        <v>425</v>
      </c>
      <c r="H29" s="292"/>
      <c r="I29" s="34"/>
      <c r="J29" s="34"/>
      <c r="K29" s="131"/>
    </row>
    <row r="30" spans="1:11" ht="14.25">
      <c r="A30" s="91"/>
      <c r="B30" s="292"/>
      <c r="C30" s="34"/>
      <c r="D30" s="34"/>
      <c r="E30" s="131"/>
      <c r="G30" s="91"/>
      <c r="H30" s="292"/>
      <c r="I30" s="34"/>
      <c r="J30" s="34"/>
      <c r="K30" s="131"/>
    </row>
    <row r="31" spans="1:11" ht="14.25">
      <c r="A31" s="91"/>
      <c r="B31" s="292"/>
      <c r="C31" s="34"/>
      <c r="D31" s="34"/>
      <c r="E31" s="131"/>
      <c r="G31" s="91"/>
      <c r="H31" s="292"/>
      <c r="I31" s="34"/>
      <c r="J31" s="34"/>
      <c r="K31" s="131"/>
    </row>
    <row r="32" spans="1:11" ht="14.25">
      <c r="A32" s="91"/>
      <c r="B32" s="292"/>
      <c r="C32" s="34"/>
      <c r="D32" s="34"/>
      <c r="E32" s="131"/>
      <c r="G32" s="2" t="s">
        <v>426</v>
      </c>
      <c r="H32" s="254"/>
      <c r="I32" s="133" t="s">
        <v>415</v>
      </c>
      <c r="J32" s="34"/>
      <c r="K32" s="131"/>
    </row>
    <row r="33" spans="1:11" ht="14.25">
      <c r="A33" s="91"/>
      <c r="B33" s="292"/>
      <c r="C33" s="34"/>
      <c r="D33" s="34"/>
      <c r="E33" s="131"/>
      <c r="G33" s="91"/>
      <c r="H33" s="292"/>
      <c r="I33" s="34"/>
      <c r="J33" s="34"/>
      <c r="K33" s="131"/>
    </row>
    <row r="34" spans="1:11" ht="15.75" customHeight="1">
      <c r="A34" s="2" t="s">
        <v>426</v>
      </c>
      <c r="B34" s="254"/>
      <c r="C34" s="133" t="s">
        <v>413</v>
      </c>
      <c r="D34" s="133"/>
      <c r="E34" s="131"/>
      <c r="H34" s="254"/>
      <c r="I34" s="133"/>
      <c r="J34" s="133"/>
      <c r="K34" s="131"/>
    </row>
    <row r="35" spans="2:11" ht="12">
      <c r="B35" s="254"/>
      <c r="C35" s="133"/>
      <c r="D35" s="133"/>
      <c r="E35" s="131"/>
      <c r="H35" s="254"/>
      <c r="I35" s="133"/>
      <c r="J35" s="133"/>
      <c r="K35" s="131"/>
    </row>
    <row r="36" spans="3:11" ht="15.75" customHeight="1">
      <c r="C36" s="133"/>
      <c r="D36" s="133"/>
      <c r="E36" s="293"/>
      <c r="I36" s="133"/>
      <c r="J36" s="133"/>
      <c r="K36" s="293"/>
    </row>
    <row r="37" spans="3:11" ht="12.75">
      <c r="C37" s="34"/>
      <c r="D37" s="34"/>
      <c r="E37" s="131"/>
      <c r="I37" s="34"/>
      <c r="J37" s="34"/>
      <c r="K37" s="131"/>
    </row>
    <row r="38" spans="3:11" ht="12.75">
      <c r="C38" s="34"/>
      <c r="D38" s="34"/>
      <c r="E38" s="131"/>
      <c r="I38" s="34"/>
      <c r="J38" s="34"/>
      <c r="K38" s="131"/>
    </row>
    <row r="39" spans="3:11" ht="12.75">
      <c r="C39" s="34"/>
      <c r="D39" s="34"/>
      <c r="E39" s="131"/>
      <c r="I39" s="34"/>
      <c r="J39" s="34"/>
      <c r="K39" s="131"/>
    </row>
    <row r="40" spans="1:11" ht="12.75">
      <c r="A40" s="2" t="s">
        <v>416</v>
      </c>
      <c r="C40" s="34"/>
      <c r="D40" s="34"/>
      <c r="E40" s="131"/>
      <c r="I40" s="34"/>
      <c r="J40" s="34"/>
      <c r="K40" s="131"/>
    </row>
    <row r="41" spans="1:11" ht="12.75">
      <c r="A41" s="2" t="s">
        <v>136</v>
      </c>
      <c r="C41" s="34"/>
      <c r="D41" s="34"/>
      <c r="E41" s="131"/>
      <c r="I41" s="34"/>
      <c r="J41" s="34"/>
      <c r="K41" s="131"/>
    </row>
    <row r="42" spans="3:11" ht="12.75">
      <c r="C42" s="34"/>
      <c r="D42" s="34"/>
      <c r="E42" s="131"/>
      <c r="G42" s="2" t="s">
        <v>416</v>
      </c>
      <c r="I42" s="34"/>
      <c r="J42" s="34"/>
      <c r="K42" s="131"/>
    </row>
    <row r="43" spans="3:11" ht="12.75">
      <c r="C43" s="34"/>
      <c r="D43" s="34"/>
      <c r="E43" s="131"/>
      <c r="G43" s="2" t="s">
        <v>136</v>
      </c>
      <c r="I43" s="34"/>
      <c r="J43" s="34"/>
      <c r="K43" s="131"/>
    </row>
    <row r="44" spans="3:11" ht="12.75">
      <c r="C44" s="34"/>
      <c r="D44" s="34"/>
      <c r="E44" s="131"/>
      <c r="I44" s="34"/>
      <c r="J44" s="34"/>
      <c r="K44" s="131"/>
    </row>
    <row r="45" spans="1:11" ht="14.25">
      <c r="A45" s="91"/>
      <c r="B45" s="91"/>
      <c r="C45" s="34"/>
      <c r="D45" s="34"/>
      <c r="E45" s="131"/>
      <c r="G45" s="91"/>
      <c r="H45" s="91"/>
      <c r="I45" s="34"/>
      <c r="J45" s="34"/>
      <c r="K45" s="131"/>
    </row>
    <row r="46" spans="3:11" ht="12.75">
      <c r="C46" s="34"/>
      <c r="D46" s="34"/>
      <c r="E46" s="131"/>
      <c r="I46" s="34"/>
      <c r="J46" s="34"/>
      <c r="K46" s="131"/>
    </row>
    <row r="47" spans="3:11" ht="12.75">
      <c r="C47" s="34"/>
      <c r="D47" s="34"/>
      <c r="E47" s="131"/>
      <c r="I47" s="34"/>
      <c r="J47" s="34"/>
      <c r="K47" s="131"/>
    </row>
    <row r="48" spans="3:11" ht="12.75">
      <c r="C48" s="34"/>
      <c r="D48" s="34"/>
      <c r="E48" s="131"/>
      <c r="I48" s="34"/>
      <c r="J48" s="34"/>
      <c r="K48" s="131"/>
    </row>
    <row r="49" spans="3:11" ht="12.75">
      <c r="C49" s="34"/>
      <c r="D49" s="34"/>
      <c r="E49" s="131"/>
      <c r="I49" s="34"/>
      <c r="J49" s="34"/>
      <c r="K49" s="131"/>
    </row>
    <row r="50" spans="3:11" ht="12.75">
      <c r="C50" s="34"/>
      <c r="D50" s="34"/>
      <c r="E50" s="131"/>
      <c r="I50" s="34"/>
      <c r="J50" s="34"/>
      <c r="K50" s="131"/>
    </row>
    <row r="51" spans="3:11" ht="12.75">
      <c r="C51" s="133"/>
      <c r="D51" s="34"/>
      <c r="E51" s="131"/>
      <c r="I51" s="133"/>
      <c r="J51" s="34"/>
      <c r="K51" s="131"/>
    </row>
    <row r="52" spans="3:11" ht="12.75">
      <c r="C52" s="133"/>
      <c r="D52" s="34"/>
      <c r="E52" s="131"/>
      <c r="I52" s="133"/>
      <c r="J52" s="34"/>
      <c r="K52" s="131"/>
    </row>
    <row r="53" spans="3:11" ht="12.75">
      <c r="C53" s="133"/>
      <c r="D53" s="34"/>
      <c r="E53" s="131"/>
      <c r="I53" s="133"/>
      <c r="J53" s="34"/>
      <c r="K53" s="131"/>
    </row>
    <row r="54" spans="3:11" ht="12.75">
      <c r="C54" s="133"/>
      <c r="D54" s="48"/>
      <c r="E54" s="131"/>
      <c r="I54" s="133"/>
      <c r="J54" s="48"/>
      <c r="K54" s="131"/>
    </row>
    <row r="55" spans="3:11" ht="12.75">
      <c r="C55" s="133"/>
      <c r="D55" s="48"/>
      <c r="E55" s="131"/>
      <c r="I55" s="133"/>
      <c r="J55" s="48"/>
      <c r="K55" s="131"/>
    </row>
    <row r="56" spans="3:11" ht="12.75">
      <c r="C56" s="133"/>
      <c r="D56" s="48"/>
      <c r="E56" s="131"/>
      <c r="I56" s="133"/>
      <c r="J56" s="48"/>
      <c r="K56" s="131"/>
    </row>
    <row r="57" spans="3:11" ht="12.75">
      <c r="C57" s="133"/>
      <c r="D57" s="48"/>
      <c r="E57" s="131"/>
      <c r="I57" s="133"/>
      <c r="J57" s="48"/>
      <c r="K57" s="131"/>
    </row>
    <row r="58" spans="3:11" ht="12.75">
      <c r="C58" s="133"/>
      <c r="D58" s="48"/>
      <c r="E58" s="131"/>
      <c r="I58" s="133"/>
      <c r="J58" s="48"/>
      <c r="K58" s="131"/>
    </row>
    <row r="59" spans="3:11" ht="12.75">
      <c r="C59" s="133"/>
      <c r="D59" s="48"/>
      <c r="E59" s="131"/>
      <c r="I59" s="133"/>
      <c r="J59" s="48"/>
      <c r="K59" s="131"/>
    </row>
    <row r="60" spans="3:11" ht="12.75">
      <c r="C60" s="133"/>
      <c r="D60" s="48"/>
      <c r="E60" s="131"/>
      <c r="I60" s="133"/>
      <c r="J60" s="48"/>
      <c r="K60" s="131"/>
    </row>
    <row r="61" spans="3:11" ht="12.75">
      <c r="C61" s="133"/>
      <c r="D61" s="48"/>
      <c r="E61" s="131"/>
      <c r="I61" s="133"/>
      <c r="J61" s="48"/>
      <c r="K61" s="131"/>
    </row>
    <row r="62" spans="3:11" ht="12.75">
      <c r="C62" s="133"/>
      <c r="D62" s="48"/>
      <c r="E62" s="131"/>
      <c r="I62" s="133"/>
      <c r="J62" s="48"/>
      <c r="K62" s="131"/>
    </row>
    <row r="63" spans="3:11" ht="12.75">
      <c r="C63" s="133"/>
      <c r="D63" s="48"/>
      <c r="E63" s="131"/>
      <c r="I63" s="133"/>
      <c r="J63" s="48"/>
      <c r="K63" s="131"/>
    </row>
    <row r="64" spans="3:11" ht="12.75">
      <c r="C64" s="133"/>
      <c r="D64" s="48"/>
      <c r="E64" s="131"/>
      <c r="I64" s="133"/>
      <c r="J64" s="48"/>
      <c r="K64" s="131"/>
    </row>
    <row r="65" spans="3:11" ht="12.75">
      <c r="C65" s="133"/>
      <c r="D65" s="48"/>
      <c r="E65" s="131"/>
      <c r="I65" s="133"/>
      <c r="J65" s="48"/>
      <c r="K65" s="131"/>
    </row>
    <row r="66" spans="3:11" ht="12.75">
      <c r="C66" s="133"/>
      <c r="D66" s="48"/>
      <c r="E66" s="131"/>
      <c r="I66" s="133"/>
      <c r="J66" s="48"/>
      <c r="K66" s="131"/>
    </row>
    <row r="67" spans="3:11" ht="12.75">
      <c r="C67" s="133"/>
      <c r="D67" s="48"/>
      <c r="E67" s="131"/>
      <c r="I67" s="133"/>
      <c r="J67" s="48"/>
      <c r="K67" s="131"/>
    </row>
    <row r="68" spans="3:11" ht="12.75">
      <c r="C68" s="133"/>
      <c r="D68" s="48"/>
      <c r="E68" s="131"/>
      <c r="I68" s="133"/>
      <c r="J68" s="48"/>
      <c r="K68" s="131"/>
    </row>
    <row r="69" spans="3:11" ht="12.75">
      <c r="C69" s="133"/>
      <c r="D69" s="48"/>
      <c r="E69" s="131"/>
      <c r="I69" s="133"/>
      <c r="J69" s="48"/>
      <c r="K69" s="131"/>
    </row>
    <row r="70" spans="3:11" ht="12.75">
      <c r="C70" s="133"/>
      <c r="D70" s="48"/>
      <c r="E70" s="131"/>
      <c r="I70" s="133"/>
      <c r="J70" s="48"/>
      <c r="K70" s="131"/>
    </row>
    <row r="71" spans="3:11" ht="12.75">
      <c r="C71" s="133"/>
      <c r="D71" s="48"/>
      <c r="E71" s="131"/>
      <c r="I71" s="133"/>
      <c r="J71" s="48"/>
      <c r="K71" s="131"/>
    </row>
    <row r="72" spans="3:11" ht="12.75">
      <c r="C72" s="133"/>
      <c r="D72" s="48"/>
      <c r="E72" s="131"/>
      <c r="I72" s="133"/>
      <c r="J72" s="48"/>
      <c r="K72" s="131"/>
    </row>
    <row r="73" spans="3:11" ht="12.75">
      <c r="C73" s="133"/>
      <c r="D73" s="48"/>
      <c r="E73" s="131"/>
      <c r="I73" s="133"/>
      <c r="J73" s="48"/>
      <c r="K73" s="131"/>
    </row>
    <row r="74" spans="3:11" ht="12">
      <c r="C74" s="133"/>
      <c r="E74" s="131"/>
      <c r="I74" s="133"/>
      <c r="K74" s="131"/>
    </row>
    <row r="75" spans="3:11" ht="12">
      <c r="C75" s="133"/>
      <c r="E75" s="131"/>
      <c r="I75" s="133"/>
      <c r="K75" s="131"/>
    </row>
    <row r="76" spans="3:11" ht="12">
      <c r="C76" s="133"/>
      <c r="E76" s="131"/>
      <c r="I76" s="133"/>
      <c r="K76" s="131"/>
    </row>
    <row r="77" spans="3:11" ht="12">
      <c r="C77" s="133"/>
      <c r="E77" s="131"/>
      <c r="I77" s="133"/>
      <c r="K77" s="131"/>
    </row>
    <row r="78" spans="3:11" ht="12">
      <c r="C78" s="133"/>
      <c r="E78" s="131"/>
      <c r="I78" s="133"/>
      <c r="K78" s="131"/>
    </row>
    <row r="79" spans="3:11" ht="12">
      <c r="C79" s="133"/>
      <c r="E79" s="131"/>
      <c r="I79" s="133"/>
      <c r="K79" s="131"/>
    </row>
    <row r="80" spans="3:11" ht="12">
      <c r="C80" s="133"/>
      <c r="E80" s="131"/>
      <c r="I80" s="133"/>
      <c r="K80" s="131"/>
    </row>
    <row r="81" spans="2:10" ht="12">
      <c r="B81" s="133"/>
      <c r="D81" s="131"/>
      <c r="H81" s="133"/>
      <c r="J81" s="131"/>
    </row>
    <row r="82" spans="2:10" ht="12">
      <c r="B82" s="133"/>
      <c r="D82" s="131"/>
      <c r="H82" s="133"/>
      <c r="J82" s="131"/>
    </row>
    <row r="83" spans="2:10" ht="12">
      <c r="B83" s="133"/>
      <c r="D83" s="131"/>
      <c r="H83" s="133"/>
      <c r="J83" s="131"/>
    </row>
    <row r="84" spans="2:10" ht="12">
      <c r="B84" s="133"/>
      <c r="D84" s="131"/>
      <c r="H84" s="133"/>
      <c r="J84" s="131"/>
    </row>
    <row r="85" spans="2:10" ht="12">
      <c r="B85" s="133"/>
      <c r="D85" s="131"/>
      <c r="H85" s="133"/>
      <c r="J85" s="131"/>
    </row>
    <row r="86" spans="2:10" ht="12">
      <c r="B86" s="133"/>
      <c r="D86" s="131"/>
      <c r="H86" s="133"/>
      <c r="J86" s="131"/>
    </row>
    <row r="87" spans="2:10" ht="12">
      <c r="B87" s="133"/>
      <c r="D87" s="131"/>
      <c r="H87" s="133"/>
      <c r="J87" s="131"/>
    </row>
    <row r="88" spans="2:10" ht="12">
      <c r="B88" s="133"/>
      <c r="D88" s="131"/>
      <c r="H88" s="133"/>
      <c r="J88" s="131"/>
    </row>
    <row r="89" spans="2:10" ht="12">
      <c r="B89" s="133"/>
      <c r="D89" s="131"/>
      <c r="H89" s="133"/>
      <c r="J89" s="131"/>
    </row>
    <row r="90" spans="2:10" ht="12">
      <c r="B90" s="133"/>
      <c r="D90" s="131"/>
      <c r="H90" s="133"/>
      <c r="J90" s="131"/>
    </row>
    <row r="91" spans="2:10" ht="12">
      <c r="B91" s="133"/>
      <c r="D91" s="131"/>
      <c r="H91" s="133"/>
      <c r="J91" s="131"/>
    </row>
    <row r="92" spans="2:10" ht="12">
      <c r="B92" s="133"/>
      <c r="D92" s="131"/>
      <c r="H92" s="133"/>
      <c r="J92" s="131"/>
    </row>
    <row r="93" spans="2:10" ht="12">
      <c r="B93" s="133"/>
      <c r="D93" s="131"/>
      <c r="H93" s="133"/>
      <c r="J93" s="131"/>
    </row>
    <row r="94" spans="2:10" ht="12">
      <c r="B94" s="133"/>
      <c r="D94" s="131"/>
      <c r="H94" s="133"/>
      <c r="J94" s="131"/>
    </row>
    <row r="95" spans="2:10" ht="12">
      <c r="B95" s="133"/>
      <c r="D95" s="131"/>
      <c r="H95" s="133"/>
      <c r="J95" s="131"/>
    </row>
    <row r="96" spans="2:10" ht="12">
      <c r="B96" s="133"/>
      <c r="D96" s="131"/>
      <c r="H96" s="133"/>
      <c r="J96" s="131"/>
    </row>
    <row r="97" spans="2:10" ht="12">
      <c r="B97" s="133"/>
      <c r="D97" s="131"/>
      <c r="H97" s="133"/>
      <c r="J97" s="131"/>
    </row>
    <row r="98" spans="2:10" ht="12">
      <c r="B98" s="133"/>
      <c r="D98" s="131"/>
      <c r="H98" s="133"/>
      <c r="J98" s="131"/>
    </row>
    <row r="99" spans="2:10" ht="12">
      <c r="B99" s="133"/>
      <c r="D99" s="131"/>
      <c r="H99" s="133"/>
      <c r="J99" s="131"/>
    </row>
    <row r="100" spans="2:10" ht="12">
      <c r="B100" s="133"/>
      <c r="D100" s="131"/>
      <c r="H100" s="133"/>
      <c r="J100" s="131"/>
    </row>
    <row r="101" spans="2:8" ht="12">
      <c r="B101" s="133"/>
      <c r="H101" s="133"/>
    </row>
    <row r="102" spans="2:8" ht="12">
      <c r="B102" s="133"/>
      <c r="H102" s="133"/>
    </row>
    <row r="103" spans="2:8" ht="12">
      <c r="B103" s="133"/>
      <c r="H103" s="133"/>
    </row>
    <row r="104" spans="2:8" ht="12">
      <c r="B104" s="133"/>
      <c r="H104" s="133"/>
    </row>
    <row r="105" spans="2:8" ht="12">
      <c r="B105" s="133"/>
      <c r="H105" s="133"/>
    </row>
    <row r="106" spans="2:8" ht="12">
      <c r="B106" s="133"/>
      <c r="H106" s="133"/>
    </row>
    <row r="107" spans="2:8" ht="12">
      <c r="B107" s="133"/>
      <c r="H107" s="133"/>
    </row>
    <row r="108" spans="2:8" ht="12">
      <c r="B108" s="133"/>
      <c r="H108" s="133"/>
    </row>
    <row r="109" spans="2:8" ht="12">
      <c r="B109" s="133"/>
      <c r="H109" s="133"/>
    </row>
    <row r="236" spans="1:12" ht="12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</row>
    <row r="237" spans="1:12" ht="12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</row>
    <row r="238" spans="1:12" ht="12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</row>
    <row r="239" spans="1:12" ht="12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</row>
    <row r="240" spans="1:12" ht="12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</row>
    <row r="241" spans="1:12" ht="12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</row>
    <row r="242" spans="1:12" ht="12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</row>
    <row r="243" spans="1:12" ht="12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</row>
    <row r="244" spans="1:12" ht="12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</row>
    <row r="245" spans="1:12" ht="12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</row>
    <row r="246" spans="1:12" ht="12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</row>
    <row r="247" spans="1:12" ht="12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</row>
    <row r="248" spans="1:12" ht="12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</row>
    <row r="249" spans="1:12" ht="12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</row>
    <row r="250" spans="1:12" ht="12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</row>
    <row r="251" spans="1:12" ht="12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</row>
    <row r="252" spans="1:12" ht="12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</row>
    <row r="253" spans="1:12" ht="12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</row>
    <row r="254" spans="1:12" ht="12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</row>
    <row r="255" spans="1:12" ht="12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</row>
    <row r="256" spans="1:12" ht="12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</row>
    <row r="257" spans="1:12" ht="12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</row>
    <row r="258" spans="1:12" ht="12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</row>
    <row r="259" spans="1:12" ht="12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</row>
    <row r="260" spans="1:12" ht="12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</row>
    <row r="261" spans="1:12" ht="12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</row>
    <row r="262" spans="1:12" ht="12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</row>
  </sheetData>
  <mergeCells count="2">
    <mergeCell ref="G4:L4"/>
    <mergeCell ref="G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49">
      <selection activeCell="E47" sqref="E47"/>
    </sheetView>
  </sheetViews>
  <sheetFormatPr defaultColWidth="9.140625" defaultRowHeight="12.75"/>
  <cols>
    <col min="1" max="1" width="58.57421875" style="305" customWidth="1"/>
    <col min="2" max="2" width="9.8515625" style="305" customWidth="1"/>
    <col min="3" max="3" width="11.00390625" style="305" customWidth="1"/>
    <col min="4" max="4" width="10.421875" style="305" customWidth="1"/>
    <col min="5" max="5" width="11.140625" style="305" customWidth="1"/>
    <col min="6" max="16384" width="8.00390625" style="305" customWidth="1"/>
  </cols>
  <sheetData>
    <row r="1" spans="1:5" ht="12.75">
      <c r="A1" s="304" t="s">
        <v>46</v>
      </c>
      <c r="B1" s="304"/>
      <c r="C1" s="304"/>
      <c r="D1" s="304"/>
      <c r="E1" s="391" t="s">
        <v>684</v>
      </c>
    </row>
    <row r="2" spans="1:5" ht="12.75">
      <c r="A2" s="318"/>
      <c r="B2" s="318"/>
      <c r="C2" s="318"/>
      <c r="D2" s="318"/>
      <c r="E2" s="318"/>
    </row>
    <row r="3" spans="1:5" ht="18">
      <c r="A3" s="405" t="s">
        <v>685</v>
      </c>
      <c r="B3" s="526"/>
      <c r="C3" s="304"/>
      <c r="D3" s="304"/>
      <c r="E3" s="304"/>
    </row>
    <row r="4" spans="1:5" ht="18">
      <c r="A4" s="405" t="s">
        <v>637</v>
      </c>
      <c r="B4" s="526"/>
      <c r="C4" s="304"/>
      <c r="D4" s="304"/>
      <c r="E4" s="304"/>
    </row>
    <row r="5" spans="1:5" ht="18">
      <c r="A5" s="526"/>
      <c r="B5" s="526"/>
      <c r="C5" s="304"/>
      <c r="D5" s="313"/>
      <c r="E5" s="313" t="s">
        <v>48</v>
      </c>
    </row>
    <row r="6" spans="1:5" ht="35.25" customHeight="1">
      <c r="A6" s="506" t="s">
        <v>2</v>
      </c>
      <c r="B6" s="506" t="s">
        <v>432</v>
      </c>
      <c r="C6" s="506" t="s">
        <v>50</v>
      </c>
      <c r="D6" s="506" t="s">
        <v>51</v>
      </c>
      <c r="E6" s="506" t="s">
        <v>143</v>
      </c>
    </row>
    <row r="7" spans="1:5" s="390" customFormat="1" ht="12.75" customHeight="1">
      <c r="A7" s="506">
        <v>1</v>
      </c>
      <c r="B7" s="506">
        <v>2</v>
      </c>
      <c r="C7" s="506">
        <v>3</v>
      </c>
      <c r="D7" s="506">
        <v>4</v>
      </c>
      <c r="E7" s="506">
        <v>5</v>
      </c>
    </row>
    <row r="8" spans="1:5" ht="16.5" customHeight="1">
      <c r="A8" s="527" t="s">
        <v>686</v>
      </c>
      <c r="B8" s="511">
        <f>B16+B20</f>
        <v>399992</v>
      </c>
      <c r="C8" s="511">
        <f>C16+C20</f>
        <v>338709</v>
      </c>
      <c r="D8" s="385">
        <f aca="true" t="shared" si="0" ref="D8:D24">C8/B8*100</f>
        <v>84.68</v>
      </c>
      <c r="E8" s="511">
        <f>E16+E20</f>
        <v>33523</v>
      </c>
    </row>
    <row r="9" spans="1:5" ht="12">
      <c r="A9" s="528" t="s">
        <v>687</v>
      </c>
      <c r="B9" s="511">
        <f>SUM(B10:B13)</f>
        <v>388112</v>
      </c>
      <c r="C9" s="511">
        <f>SUM(C10:C13)</f>
        <v>326629</v>
      </c>
      <c r="D9" s="385">
        <f t="shared" si="0"/>
        <v>84.16</v>
      </c>
      <c r="E9" s="511">
        <f>SUM(E10:E13)</f>
        <v>32688</v>
      </c>
    </row>
    <row r="10" spans="1:5" ht="12">
      <c r="A10" s="528" t="s">
        <v>688</v>
      </c>
      <c r="B10" s="511">
        <v>214867</v>
      </c>
      <c r="C10" s="511">
        <v>182218</v>
      </c>
      <c r="D10" s="385">
        <f t="shared" si="0"/>
        <v>84.81</v>
      </c>
      <c r="E10" s="511">
        <v>17446</v>
      </c>
    </row>
    <row r="11" spans="1:5" ht="12">
      <c r="A11" s="528" t="s">
        <v>689</v>
      </c>
      <c r="B11" s="511">
        <v>17715</v>
      </c>
      <c r="C11" s="511">
        <v>14582</v>
      </c>
      <c r="D11" s="385">
        <f t="shared" si="0"/>
        <v>82.31</v>
      </c>
      <c r="E11" s="511">
        <v>1024</v>
      </c>
    </row>
    <row r="12" spans="1:5" ht="12">
      <c r="A12" s="528" t="s">
        <v>690</v>
      </c>
      <c r="B12" s="511">
        <v>25275</v>
      </c>
      <c r="C12" s="511">
        <v>21111</v>
      </c>
      <c r="D12" s="385">
        <f t="shared" si="0"/>
        <v>83.53</v>
      </c>
      <c r="E12" s="511">
        <v>2777</v>
      </c>
    </row>
    <row r="13" spans="1:5" ht="12">
      <c r="A13" s="528" t="s">
        <v>691</v>
      </c>
      <c r="B13" s="511">
        <v>130255</v>
      </c>
      <c r="C13" s="511">
        <v>108718</v>
      </c>
      <c r="D13" s="385">
        <f t="shared" si="0"/>
        <v>83.47</v>
      </c>
      <c r="E13" s="511">
        <v>11441</v>
      </c>
    </row>
    <row r="14" spans="1:5" ht="12">
      <c r="A14" s="529" t="s">
        <v>692</v>
      </c>
      <c r="B14" s="511">
        <v>6446</v>
      </c>
      <c r="C14" s="511">
        <v>4678</v>
      </c>
      <c r="D14" s="385">
        <f t="shared" si="0"/>
        <v>72.57</v>
      </c>
      <c r="E14" s="511">
        <v>666</v>
      </c>
    </row>
    <row r="15" spans="1:5" ht="22.5">
      <c r="A15" s="529" t="s">
        <v>693</v>
      </c>
      <c r="B15" s="511">
        <v>24052</v>
      </c>
      <c r="C15" s="511">
        <v>19870</v>
      </c>
      <c r="D15" s="385">
        <f t="shared" si="0"/>
        <v>82.61</v>
      </c>
      <c r="E15" s="511">
        <v>2016</v>
      </c>
    </row>
    <row r="16" spans="1:5" ht="19.5" customHeight="1">
      <c r="A16" s="527" t="s">
        <v>694</v>
      </c>
      <c r="B16" s="511">
        <f>B9-B14-B15</f>
        <v>357614</v>
      </c>
      <c r="C16" s="511">
        <f>C9-C14-C15</f>
        <v>302081</v>
      </c>
      <c r="D16" s="385">
        <f t="shared" si="0"/>
        <v>84.47</v>
      </c>
      <c r="E16" s="511">
        <f>E9-E14-E15</f>
        <v>30006</v>
      </c>
    </row>
    <row r="17" spans="1:5" ht="12">
      <c r="A17" s="528" t="s">
        <v>695</v>
      </c>
      <c r="B17" s="511">
        <f>SUM(B18:B19)</f>
        <v>42378</v>
      </c>
      <c r="C17" s="511">
        <f>SUM(C18:C19)</f>
        <v>36628</v>
      </c>
      <c r="D17" s="385">
        <f t="shared" si="0"/>
        <v>86.43</v>
      </c>
      <c r="E17" s="511">
        <f>SUM(E18:E19)</f>
        <v>3517</v>
      </c>
    </row>
    <row r="18" spans="1:5" ht="12">
      <c r="A18" s="528" t="s">
        <v>696</v>
      </c>
      <c r="B18" s="511">
        <v>37035</v>
      </c>
      <c r="C18" s="511">
        <v>31530</v>
      </c>
      <c r="D18" s="385">
        <f t="shared" si="0"/>
        <v>85.14</v>
      </c>
      <c r="E18" s="511">
        <v>3137</v>
      </c>
    </row>
    <row r="19" spans="1:5" ht="12">
      <c r="A19" s="528" t="s">
        <v>697</v>
      </c>
      <c r="B19" s="511">
        <v>5343</v>
      </c>
      <c r="C19" s="511">
        <v>5098</v>
      </c>
      <c r="D19" s="385">
        <f t="shared" si="0"/>
        <v>95.41</v>
      </c>
      <c r="E19" s="511">
        <v>380</v>
      </c>
    </row>
    <row r="20" spans="1:5" ht="23.25" customHeight="1">
      <c r="A20" s="527" t="s">
        <v>698</v>
      </c>
      <c r="B20" s="511">
        <v>42378</v>
      </c>
      <c r="C20" s="511">
        <v>36628</v>
      </c>
      <c r="D20" s="385">
        <f t="shared" si="0"/>
        <v>86.43</v>
      </c>
      <c r="E20" s="511">
        <v>3517</v>
      </c>
    </row>
    <row r="21" spans="1:5" ht="35.25" customHeight="1">
      <c r="A21" s="527" t="s">
        <v>699</v>
      </c>
      <c r="B21" s="511">
        <f>SUM(B22:B24)</f>
        <v>412310</v>
      </c>
      <c r="C21" s="511">
        <f>SUM(C22:C24)</f>
        <v>340205</v>
      </c>
      <c r="D21" s="385">
        <f t="shared" si="0"/>
        <v>82.51</v>
      </c>
      <c r="E21" s="511">
        <f>SUM(E22:E24)</f>
        <v>35697</v>
      </c>
    </row>
    <row r="22" spans="1:5" ht="34.5" customHeight="1">
      <c r="A22" s="530" t="s">
        <v>700</v>
      </c>
      <c r="B22" s="511">
        <f aca="true" t="shared" si="1" ref="B22:C24">B34+B43</f>
        <v>361768</v>
      </c>
      <c r="C22" s="511">
        <f t="shared" si="1"/>
        <v>280304</v>
      </c>
      <c r="D22" s="385">
        <f t="shared" si="0"/>
        <v>77.48</v>
      </c>
      <c r="E22" s="511">
        <f>E34+E43</f>
        <v>27973</v>
      </c>
    </row>
    <row r="23" spans="1:5" ht="30.75" customHeight="1">
      <c r="A23" s="530" t="s">
        <v>701</v>
      </c>
      <c r="B23" s="511">
        <f t="shared" si="1"/>
        <v>32100</v>
      </c>
      <c r="C23" s="511">
        <f t="shared" si="1"/>
        <v>24637</v>
      </c>
      <c r="D23" s="385">
        <f t="shared" si="0"/>
        <v>76.75</v>
      </c>
      <c r="E23" s="511">
        <f>E35+E44</f>
        <v>2753</v>
      </c>
    </row>
    <row r="24" spans="1:5" ht="31.5" customHeight="1">
      <c r="A24" s="530" t="s">
        <v>702</v>
      </c>
      <c r="B24" s="511">
        <f t="shared" si="1"/>
        <v>18442</v>
      </c>
      <c r="C24" s="511">
        <f t="shared" si="1"/>
        <v>35264</v>
      </c>
      <c r="D24" s="385">
        <f t="shared" si="0"/>
        <v>191.22</v>
      </c>
      <c r="E24" s="511">
        <f>E36+E45</f>
        <v>4971</v>
      </c>
    </row>
    <row r="25" spans="1:5" ht="59.25" customHeight="1">
      <c r="A25" s="527" t="s">
        <v>703</v>
      </c>
      <c r="B25" s="511">
        <f>B8-B21</f>
        <v>-12318</v>
      </c>
      <c r="C25" s="511">
        <f>C8-C21</f>
        <v>-1496</v>
      </c>
      <c r="D25" s="511"/>
      <c r="E25" s="511">
        <f>E8-E21</f>
        <v>-2174</v>
      </c>
    </row>
    <row r="26" spans="1:5" ht="30" customHeight="1">
      <c r="A26" s="527" t="s">
        <v>704</v>
      </c>
      <c r="B26" s="511">
        <f>B38+B47</f>
        <v>-3888</v>
      </c>
      <c r="C26" s="511">
        <f>C38+C47</f>
        <v>3071</v>
      </c>
      <c r="D26" s="511"/>
      <c r="E26" s="511">
        <f>E38+E47</f>
        <v>896</v>
      </c>
    </row>
    <row r="27" spans="1:5" ht="38.25" customHeight="1">
      <c r="A27" s="527" t="s">
        <v>705</v>
      </c>
      <c r="B27" s="511">
        <f>B21+B26</f>
        <v>408422</v>
      </c>
      <c r="C27" s="511">
        <f>C21+C26</f>
        <v>343276</v>
      </c>
      <c r="D27" s="385">
        <f>C27/B27*100</f>
        <v>84.05</v>
      </c>
      <c r="E27" s="511">
        <f>E21+E26</f>
        <v>36593</v>
      </c>
    </row>
    <row r="28" spans="1:5" ht="41.25" customHeight="1">
      <c r="A28" s="527" t="s">
        <v>706</v>
      </c>
      <c r="B28" s="511">
        <f>SUM(B25-B26)</f>
        <v>-8430</v>
      </c>
      <c r="C28" s="511">
        <f>SUM(C25-C26)</f>
        <v>-4567</v>
      </c>
      <c r="D28" s="511"/>
      <c r="E28" s="511">
        <f>SUM(E25-E26)</f>
        <v>-3070</v>
      </c>
    </row>
    <row r="29" spans="1:5" ht="18.75" customHeight="1">
      <c r="A29" s="531" t="s">
        <v>707</v>
      </c>
      <c r="B29" s="511">
        <v>388478</v>
      </c>
      <c r="C29" s="511">
        <v>327057</v>
      </c>
      <c r="D29" s="385">
        <f aca="true" t="shared" si="2" ref="D29:D36">C29/B29*100</f>
        <v>84.19</v>
      </c>
      <c r="E29" s="511">
        <v>34675</v>
      </c>
    </row>
    <row r="30" spans="1:5" ht="12">
      <c r="A30" s="529" t="s">
        <v>708</v>
      </c>
      <c r="B30" s="511">
        <v>30498</v>
      </c>
      <c r="C30" s="511">
        <v>24548</v>
      </c>
      <c r="D30" s="385">
        <f t="shared" si="2"/>
        <v>80.49</v>
      </c>
      <c r="E30" s="511">
        <v>2682</v>
      </c>
    </row>
    <row r="31" spans="1:5" ht="17.25" customHeight="1">
      <c r="A31" s="531" t="s">
        <v>709</v>
      </c>
      <c r="B31" s="511">
        <f>SUM(B29-B30)</f>
        <v>357980</v>
      </c>
      <c r="C31" s="511">
        <f>SUM(C29-C30)</f>
        <v>302509</v>
      </c>
      <c r="D31" s="385">
        <f t="shared" si="2"/>
        <v>84.5</v>
      </c>
      <c r="E31" s="511">
        <f>SUM(E29-E30)</f>
        <v>31993</v>
      </c>
    </row>
    <row r="32" spans="1:5" ht="15.75" customHeight="1">
      <c r="A32" s="532" t="s">
        <v>710</v>
      </c>
      <c r="B32" s="511">
        <v>352947</v>
      </c>
      <c r="C32" s="511">
        <v>277492</v>
      </c>
      <c r="D32" s="385">
        <f t="shared" si="2"/>
        <v>78.62</v>
      </c>
      <c r="E32" s="511">
        <v>27854</v>
      </c>
    </row>
    <row r="33" spans="1:5" ht="12">
      <c r="A33" s="529" t="s">
        <v>708</v>
      </c>
      <c r="B33" s="511">
        <v>30498</v>
      </c>
      <c r="C33" s="511">
        <v>24548</v>
      </c>
      <c r="D33" s="385">
        <f t="shared" si="2"/>
        <v>80.49</v>
      </c>
      <c r="E33" s="511">
        <v>2682</v>
      </c>
    </row>
    <row r="34" spans="1:5" ht="12">
      <c r="A34" s="532" t="s">
        <v>711</v>
      </c>
      <c r="B34" s="511">
        <f>B32-B33</f>
        <v>322449</v>
      </c>
      <c r="C34" s="511">
        <f>C32-C33</f>
        <v>252944</v>
      </c>
      <c r="D34" s="385">
        <f t="shared" si="2"/>
        <v>78.44</v>
      </c>
      <c r="E34" s="511">
        <f>E32-E33</f>
        <v>25172</v>
      </c>
    </row>
    <row r="35" spans="1:5" ht="12">
      <c r="A35" s="532" t="s">
        <v>712</v>
      </c>
      <c r="B35" s="511">
        <v>19885</v>
      </c>
      <c r="C35" s="511">
        <v>15935</v>
      </c>
      <c r="D35" s="385">
        <f t="shared" si="2"/>
        <v>80.14</v>
      </c>
      <c r="E35" s="511">
        <v>1896</v>
      </c>
    </row>
    <row r="36" spans="1:5" ht="12">
      <c r="A36" s="532" t="s">
        <v>713</v>
      </c>
      <c r="B36" s="511">
        <v>15646</v>
      </c>
      <c r="C36" s="511">
        <v>33630</v>
      </c>
      <c r="D36" s="385">
        <f t="shared" si="2"/>
        <v>214.94</v>
      </c>
      <c r="E36" s="511">
        <v>4925</v>
      </c>
    </row>
    <row r="37" spans="1:5" s="533" customFormat="1" ht="42" customHeight="1">
      <c r="A37" s="527" t="s">
        <v>714</v>
      </c>
      <c r="B37" s="511">
        <f>B16-B31</f>
        <v>-366</v>
      </c>
      <c r="C37" s="511">
        <f>C16-C31</f>
        <v>-428</v>
      </c>
      <c r="D37" s="385"/>
      <c r="E37" s="511">
        <f>E16-E31</f>
        <v>-1987</v>
      </c>
    </row>
    <row r="38" spans="1:5" s="533" customFormat="1" ht="27" customHeight="1">
      <c r="A38" s="531" t="s">
        <v>715</v>
      </c>
      <c r="B38" s="511">
        <f>B39-B40</f>
        <v>-144</v>
      </c>
      <c r="C38" s="511">
        <f>C39-C40</f>
        <v>810</v>
      </c>
      <c r="D38" s="511"/>
      <c r="E38" s="511">
        <f>E39-E40</f>
        <v>-57</v>
      </c>
    </row>
    <row r="39" spans="1:5" s="533" customFormat="1" ht="15.75" customHeight="1">
      <c r="A39" s="532" t="s">
        <v>716</v>
      </c>
      <c r="B39" s="511">
        <v>836</v>
      </c>
      <c r="C39" s="511">
        <v>1422</v>
      </c>
      <c r="D39" s="511"/>
      <c r="E39" s="511">
        <v>112</v>
      </c>
    </row>
    <row r="40" spans="1:5" s="533" customFormat="1" ht="18" customHeight="1">
      <c r="A40" s="532" t="s">
        <v>717</v>
      </c>
      <c r="B40" s="511">
        <v>980</v>
      </c>
      <c r="C40" s="511">
        <v>612</v>
      </c>
      <c r="D40" s="511"/>
      <c r="E40" s="511">
        <v>169</v>
      </c>
    </row>
    <row r="41" spans="1:5" s="533" customFormat="1" ht="38.25" customHeight="1">
      <c r="A41" s="527" t="s">
        <v>718</v>
      </c>
      <c r="B41" s="511">
        <f>SUM(B37-B38)</f>
        <v>-222</v>
      </c>
      <c r="C41" s="511">
        <f>SUM(C37-C38)</f>
        <v>-1238</v>
      </c>
      <c r="D41" s="385"/>
      <c r="E41" s="511">
        <f>SUM(E37-E38)</f>
        <v>-1930</v>
      </c>
    </row>
    <row r="42" spans="1:5" s="533" customFormat="1" ht="23.25" customHeight="1">
      <c r="A42" s="531" t="s">
        <v>719</v>
      </c>
      <c r="B42" s="511">
        <f>SUM(B43:B45)</f>
        <v>54330</v>
      </c>
      <c r="C42" s="511">
        <f>SUM(C43:C45)</f>
        <v>37696</v>
      </c>
      <c r="D42" s="385">
        <f>C42/B42*100</f>
        <v>69.38</v>
      </c>
      <c r="E42" s="511">
        <f>SUM(E43:E45)</f>
        <v>3704</v>
      </c>
    </row>
    <row r="43" spans="1:5" s="533" customFormat="1" ht="12">
      <c r="A43" s="532" t="s">
        <v>720</v>
      </c>
      <c r="B43" s="511">
        <v>39319</v>
      </c>
      <c r="C43" s="511">
        <v>27360</v>
      </c>
      <c r="D43" s="385">
        <f>C43/B43*100</f>
        <v>69.58</v>
      </c>
      <c r="E43" s="511">
        <v>2801</v>
      </c>
    </row>
    <row r="44" spans="1:5" s="533" customFormat="1" ht="12">
      <c r="A44" s="532" t="s">
        <v>721</v>
      </c>
      <c r="B44" s="511">
        <v>12215</v>
      </c>
      <c r="C44" s="511">
        <v>8702</v>
      </c>
      <c r="D44" s="385">
        <f>C44/B44*100</f>
        <v>71.24</v>
      </c>
      <c r="E44" s="511">
        <v>857</v>
      </c>
    </row>
    <row r="45" spans="1:5" s="533" customFormat="1" ht="12">
      <c r="A45" s="532" t="s">
        <v>722</v>
      </c>
      <c r="B45" s="511">
        <v>2796</v>
      </c>
      <c r="C45" s="511">
        <v>1634</v>
      </c>
      <c r="D45" s="385">
        <f>C45/B45*100</f>
        <v>58.44</v>
      </c>
      <c r="E45" s="511">
        <v>46</v>
      </c>
    </row>
    <row r="46" spans="1:14" s="533" customFormat="1" ht="46.5" customHeight="1">
      <c r="A46" s="527" t="s">
        <v>723</v>
      </c>
      <c r="B46" s="511">
        <f>SUM(B20-B42)</f>
        <v>-11952</v>
      </c>
      <c r="C46" s="511">
        <f>SUM(C20-C42)</f>
        <v>-1068</v>
      </c>
      <c r="D46" s="511"/>
      <c r="E46" s="511">
        <f>SUM(E20-E42)</f>
        <v>-187</v>
      </c>
      <c r="N46" s="318"/>
    </row>
    <row r="47" spans="1:5" s="533" customFormat="1" ht="18.75" customHeight="1">
      <c r="A47" s="531" t="s">
        <v>724</v>
      </c>
      <c r="B47" s="511">
        <f>B48-B49</f>
        <v>-3744</v>
      </c>
      <c r="C47" s="511">
        <f>C48-C49</f>
        <v>2261</v>
      </c>
      <c r="D47" s="511"/>
      <c r="E47" s="511">
        <f>E48-E49</f>
        <v>953</v>
      </c>
    </row>
    <row r="48" spans="1:5" s="533" customFormat="1" ht="12">
      <c r="A48" s="532" t="s">
        <v>725</v>
      </c>
      <c r="B48" s="511">
        <v>3329</v>
      </c>
      <c r="C48" s="511">
        <v>5370</v>
      </c>
      <c r="D48" s="511"/>
      <c r="E48" s="511">
        <v>1110</v>
      </c>
    </row>
    <row r="49" spans="1:5" s="533" customFormat="1" ht="12">
      <c r="A49" s="532" t="s">
        <v>726</v>
      </c>
      <c r="B49" s="511">
        <v>7073</v>
      </c>
      <c r="C49" s="511">
        <v>3109</v>
      </c>
      <c r="E49" s="511">
        <v>157</v>
      </c>
    </row>
    <row r="50" spans="1:5" s="533" customFormat="1" ht="46.5" customHeight="1">
      <c r="A50" s="527" t="s">
        <v>727</v>
      </c>
      <c r="B50" s="511">
        <f>SUM(B46-B47)</f>
        <v>-8208</v>
      </c>
      <c r="C50" s="511">
        <f>SUM(C46-C47)</f>
        <v>-3329</v>
      </c>
      <c r="E50" s="511">
        <f>SUM(E46-E47)</f>
        <v>-1140</v>
      </c>
    </row>
    <row r="51" s="318" customFormat="1" ht="12.75">
      <c r="A51" s="401"/>
    </row>
    <row r="52" s="318" customFormat="1" ht="12.75">
      <c r="A52" s="401"/>
    </row>
    <row r="53" s="318" customFormat="1" ht="12.75">
      <c r="A53" s="401"/>
    </row>
    <row r="54" s="318" customFormat="1" ht="12.75">
      <c r="A54" s="401"/>
    </row>
    <row r="55" s="318" customFormat="1" ht="12.75">
      <c r="A55" s="401"/>
    </row>
    <row r="56" s="318" customFormat="1" ht="12.75">
      <c r="A56" s="401"/>
    </row>
    <row r="57" spans="1:4" s="318" customFormat="1" ht="12.75">
      <c r="A57" s="362" t="s">
        <v>728</v>
      </c>
      <c r="B57" s="534"/>
      <c r="C57" s="339"/>
      <c r="D57" s="339" t="s">
        <v>467</v>
      </c>
    </row>
    <row r="58" s="318" customFormat="1" ht="12.75">
      <c r="A58" s="401"/>
    </row>
    <row r="59" s="318" customFormat="1" ht="12.75">
      <c r="A59" s="401"/>
    </row>
    <row r="60" s="318" customFormat="1" ht="12.75">
      <c r="A60" s="401"/>
    </row>
    <row r="61" s="318" customFormat="1" ht="12.75">
      <c r="A61" s="401"/>
    </row>
    <row r="62" s="318" customFormat="1" ht="12.75">
      <c r="A62" s="401"/>
    </row>
    <row r="63" s="318" customFormat="1" ht="12.75">
      <c r="A63" s="401"/>
    </row>
    <row r="64" s="318" customFormat="1" ht="12.75">
      <c r="A64" s="401"/>
    </row>
    <row r="65" s="318" customFormat="1" ht="12.75">
      <c r="A65" s="450" t="s">
        <v>601</v>
      </c>
    </row>
    <row r="66" s="318" customFormat="1" ht="12.75">
      <c r="A66" s="450" t="s">
        <v>602</v>
      </c>
    </row>
    <row r="67" s="318" customFormat="1" ht="12.75">
      <c r="A67" s="401"/>
    </row>
    <row r="68" s="318" customFormat="1" ht="12.75">
      <c r="A68" s="401"/>
    </row>
    <row r="69" s="318" customFormat="1" ht="12.75">
      <c r="A69" s="450"/>
    </row>
    <row r="72" s="318" customFormat="1" ht="12.75">
      <c r="A72" s="401"/>
    </row>
    <row r="73" s="318" customFormat="1" ht="12.75">
      <c r="A73" s="401"/>
    </row>
    <row r="74" s="318" customFormat="1" ht="12.75">
      <c r="A74" s="401"/>
    </row>
    <row r="75" s="318" customFormat="1" ht="12.75">
      <c r="A75" s="401"/>
    </row>
    <row r="76" s="318" customFormat="1" ht="12.75">
      <c r="A76" s="401"/>
    </row>
    <row r="77" s="318" customFormat="1" ht="12.75">
      <c r="A77" s="401"/>
    </row>
    <row r="78" s="318" customFormat="1" ht="12.75">
      <c r="A78" s="401"/>
    </row>
    <row r="79" ht="11.25">
      <c r="A79" s="402"/>
    </row>
    <row r="80" ht="11.25">
      <c r="A80" s="402"/>
    </row>
    <row r="81" ht="11.25">
      <c r="A81" s="402"/>
    </row>
    <row r="82" ht="11.25">
      <c r="A82" s="402"/>
    </row>
    <row r="83" ht="11.25">
      <c r="A83" s="402"/>
    </row>
    <row r="84" ht="11.25">
      <c r="A84" s="402"/>
    </row>
    <row r="85" ht="11.25">
      <c r="A85" s="402"/>
    </row>
    <row r="86" ht="11.25">
      <c r="A86" s="402"/>
    </row>
    <row r="87" ht="11.25">
      <c r="A87" s="402"/>
    </row>
    <row r="88" ht="11.25">
      <c r="A88" s="402"/>
    </row>
    <row r="89" ht="11.25">
      <c r="A89" s="402"/>
    </row>
    <row r="90" ht="11.25">
      <c r="A90" s="402"/>
    </row>
    <row r="91" ht="11.25">
      <c r="A91" s="402"/>
    </row>
    <row r="92" ht="11.25">
      <c r="A92" s="402"/>
    </row>
    <row r="93" ht="11.25">
      <c r="A93" s="402"/>
    </row>
    <row r="94" ht="11.25">
      <c r="A94" s="402"/>
    </row>
    <row r="95" ht="11.25">
      <c r="A95" s="402"/>
    </row>
    <row r="96" ht="11.25">
      <c r="A96" s="402"/>
    </row>
    <row r="97" ht="11.25">
      <c r="A97" s="402"/>
    </row>
    <row r="98" ht="11.25">
      <c r="A98" s="402"/>
    </row>
    <row r="99" ht="11.25">
      <c r="A99" s="402"/>
    </row>
    <row r="100" ht="11.25">
      <c r="A100" s="402"/>
    </row>
    <row r="101" ht="11.25">
      <c r="A101" s="402"/>
    </row>
    <row r="102" ht="11.25">
      <c r="A102" s="402"/>
    </row>
    <row r="103" ht="11.25">
      <c r="A103" s="402"/>
    </row>
    <row r="104" ht="11.25">
      <c r="A104" s="402"/>
    </row>
    <row r="105" ht="11.25">
      <c r="A105" s="402"/>
    </row>
    <row r="106" ht="11.25">
      <c r="A106" s="402"/>
    </row>
    <row r="107" ht="11.25">
      <c r="A107" s="402"/>
    </row>
    <row r="108" ht="11.25">
      <c r="A108" s="402"/>
    </row>
    <row r="109" ht="11.25">
      <c r="A109" s="402"/>
    </row>
    <row r="110" ht="11.25">
      <c r="A110" s="402"/>
    </row>
    <row r="111" ht="11.25">
      <c r="A111" s="402"/>
    </row>
    <row r="112" ht="11.25">
      <c r="A112" s="402"/>
    </row>
    <row r="113" ht="11.25">
      <c r="A113" s="402"/>
    </row>
    <row r="114" ht="11.25">
      <c r="A114" s="402"/>
    </row>
    <row r="115" ht="11.25">
      <c r="A115" s="402"/>
    </row>
    <row r="116" ht="11.25">
      <c r="A116" s="402"/>
    </row>
    <row r="117" ht="11.25">
      <c r="A117" s="402"/>
    </row>
    <row r="118" ht="11.25">
      <c r="A118" s="402"/>
    </row>
    <row r="119" ht="11.25">
      <c r="A119" s="402"/>
    </row>
    <row r="120" ht="11.25">
      <c r="A120" s="402"/>
    </row>
    <row r="121" ht="11.25">
      <c r="A121" s="402"/>
    </row>
    <row r="122" ht="11.25">
      <c r="A122" s="402"/>
    </row>
    <row r="123" ht="11.25">
      <c r="A123" s="402"/>
    </row>
    <row r="124" ht="11.25">
      <c r="A124" s="402"/>
    </row>
    <row r="125" ht="11.25">
      <c r="A125" s="402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showGridLines="0" showZeros="0" workbookViewId="0" topLeftCell="A1">
      <selection activeCell="E47" sqref="E47"/>
    </sheetView>
  </sheetViews>
  <sheetFormatPr defaultColWidth="9.140625" defaultRowHeight="12.75"/>
  <cols>
    <col min="1" max="1" width="37.57421875" style="311" customWidth="1"/>
    <col min="2" max="5" width="12.7109375" style="305" customWidth="1"/>
    <col min="6" max="16384" width="7.421875" style="305" customWidth="1"/>
  </cols>
  <sheetData>
    <row r="1" spans="1:5" ht="12.75">
      <c r="A1" s="303" t="s">
        <v>427</v>
      </c>
      <c r="B1" s="303"/>
      <c r="C1" s="304"/>
      <c r="D1" s="304"/>
      <c r="E1" s="304" t="s">
        <v>428</v>
      </c>
    </row>
    <row r="2" spans="1:7" s="304" customFormat="1" ht="12.75">
      <c r="A2" s="303"/>
      <c r="B2" s="303"/>
      <c r="E2" s="306"/>
      <c r="G2" s="303" t="s">
        <v>429</v>
      </c>
    </row>
    <row r="4" spans="1:6" s="310" customFormat="1" ht="15.75">
      <c r="A4" s="307" t="s">
        <v>430</v>
      </c>
      <c r="B4" s="308"/>
      <c r="C4" s="309"/>
      <c r="D4" s="309"/>
      <c r="E4" s="309"/>
      <c r="F4" s="309"/>
    </row>
    <row r="5" spans="1:6" s="310" customFormat="1" ht="15.75">
      <c r="A5" s="307" t="s">
        <v>431</v>
      </c>
      <c r="B5" s="308"/>
      <c r="C5" s="309"/>
      <c r="D5" s="309"/>
      <c r="E5" s="309"/>
      <c r="F5" s="309"/>
    </row>
    <row r="6" spans="2:4" ht="11.25">
      <c r="B6" s="312"/>
      <c r="C6" s="312"/>
      <c r="D6" s="312"/>
    </row>
    <row r="7" spans="3:9" ht="12.75" customHeight="1">
      <c r="C7" s="312"/>
      <c r="D7" s="312"/>
      <c r="E7" s="312"/>
      <c r="F7" s="313"/>
      <c r="G7" s="313"/>
      <c r="H7" s="313"/>
      <c r="I7" s="313"/>
    </row>
    <row r="8" spans="1:5" s="313" customFormat="1" ht="12.75" customHeight="1">
      <c r="A8" s="314"/>
      <c r="B8" s="314"/>
      <c r="C8" s="315"/>
      <c r="D8" s="315"/>
      <c r="E8" s="315" t="s">
        <v>140</v>
      </c>
    </row>
    <row r="9" spans="1:8" s="313" customFormat="1" ht="40.5" customHeight="1">
      <c r="A9" s="316" t="s">
        <v>2</v>
      </c>
      <c r="B9" s="317" t="s">
        <v>432</v>
      </c>
      <c r="C9" s="317" t="s">
        <v>50</v>
      </c>
      <c r="D9" s="317" t="s">
        <v>433</v>
      </c>
      <c r="E9" s="317" t="s">
        <v>143</v>
      </c>
      <c r="F9" s="318"/>
      <c r="G9" s="318"/>
      <c r="H9" s="318"/>
    </row>
    <row r="10" spans="1:8" s="313" customFormat="1" ht="12.75">
      <c r="A10" s="319" t="s">
        <v>434</v>
      </c>
      <c r="B10" s="319">
        <v>2</v>
      </c>
      <c r="C10" s="319">
        <v>3</v>
      </c>
      <c r="D10" s="319">
        <v>4</v>
      </c>
      <c r="E10" s="319">
        <v>5</v>
      </c>
      <c r="F10" s="318"/>
      <c r="G10" s="318"/>
      <c r="H10" s="318"/>
    </row>
    <row r="11" spans="1:6" s="318" customFormat="1" ht="12.75">
      <c r="A11" s="320" t="s">
        <v>435</v>
      </c>
      <c r="B11" s="321">
        <v>388112</v>
      </c>
      <c r="C11" s="321">
        <v>326629</v>
      </c>
      <c r="D11" s="322">
        <f aca="true" t="shared" si="0" ref="D11:D39">C11/B11*100</f>
        <v>84.16</v>
      </c>
      <c r="E11" s="321">
        <v>32688</v>
      </c>
      <c r="F11" s="305"/>
    </row>
    <row r="12" spans="1:7" ht="25.5">
      <c r="A12" s="323" t="s">
        <v>436</v>
      </c>
      <c r="B12" s="321">
        <v>257857</v>
      </c>
      <c r="C12" s="321">
        <v>217911</v>
      </c>
      <c r="D12" s="322">
        <f t="shared" si="0"/>
        <v>84.51</v>
      </c>
      <c r="E12" s="321">
        <v>21247</v>
      </c>
      <c r="F12" s="318"/>
      <c r="G12" s="318"/>
    </row>
    <row r="13" spans="1:5" s="318" customFormat="1" ht="12.75">
      <c r="A13" s="324" t="s">
        <v>437</v>
      </c>
      <c r="B13" s="321">
        <v>214867</v>
      </c>
      <c r="C13" s="321">
        <v>182218</v>
      </c>
      <c r="D13" s="322">
        <f t="shared" si="0"/>
        <v>84.81</v>
      </c>
      <c r="E13" s="321">
        <v>17446</v>
      </c>
    </row>
    <row r="14" spans="1:6" s="318" customFormat="1" ht="12.75">
      <c r="A14" s="325" t="s">
        <v>146</v>
      </c>
      <c r="B14" s="321">
        <v>214151</v>
      </c>
      <c r="C14" s="321">
        <v>181311</v>
      </c>
      <c r="D14" s="322">
        <f t="shared" si="0"/>
        <v>84.67</v>
      </c>
      <c r="E14" s="321">
        <v>17221</v>
      </c>
      <c r="F14" s="305"/>
    </row>
    <row r="15" spans="1:6" s="313" customFormat="1" ht="12">
      <c r="A15" s="326" t="s">
        <v>438</v>
      </c>
      <c r="B15" s="321">
        <v>174215</v>
      </c>
      <c r="C15" s="321">
        <v>142886</v>
      </c>
      <c r="D15" s="322">
        <f t="shared" si="0"/>
        <v>82.02</v>
      </c>
      <c r="E15" s="321">
        <v>14214</v>
      </c>
      <c r="F15" s="305"/>
    </row>
    <row r="16" spans="1:6" s="313" customFormat="1" ht="12">
      <c r="A16" s="326" t="s">
        <v>439</v>
      </c>
      <c r="B16" s="321">
        <v>21053</v>
      </c>
      <c r="C16" s="321">
        <v>16032</v>
      </c>
      <c r="D16" s="322">
        <f t="shared" si="0"/>
        <v>76.15</v>
      </c>
      <c r="E16" s="321">
        <v>1015</v>
      </c>
      <c r="F16" s="305"/>
    </row>
    <row r="17" spans="1:6" s="313" customFormat="1" ht="12">
      <c r="A17" s="326" t="s">
        <v>440</v>
      </c>
      <c r="B17" s="321">
        <v>18086</v>
      </c>
      <c r="C17" s="321">
        <v>20862</v>
      </c>
      <c r="D17" s="322">
        <f t="shared" si="0"/>
        <v>115.35</v>
      </c>
      <c r="E17" s="321">
        <v>1857</v>
      </c>
      <c r="F17" s="305"/>
    </row>
    <row r="18" spans="1:6" s="313" customFormat="1" ht="12">
      <c r="A18" s="326" t="s">
        <v>441</v>
      </c>
      <c r="B18" s="321">
        <v>797</v>
      </c>
      <c r="C18" s="321">
        <v>1531</v>
      </c>
      <c r="D18" s="322">
        <f t="shared" si="0"/>
        <v>192.1</v>
      </c>
      <c r="E18" s="321">
        <v>135</v>
      </c>
      <c r="F18" s="305"/>
    </row>
    <row r="19" spans="1:6" s="318" customFormat="1" ht="12.75">
      <c r="A19" s="325" t="s">
        <v>148</v>
      </c>
      <c r="B19" s="321">
        <v>716</v>
      </c>
      <c r="C19" s="321">
        <v>907</v>
      </c>
      <c r="D19" s="322">
        <f t="shared" si="0"/>
        <v>126.68</v>
      </c>
      <c r="E19" s="321">
        <v>225</v>
      </c>
      <c r="F19" s="305"/>
    </row>
    <row r="20" spans="1:5" ht="12">
      <c r="A20" s="326" t="s">
        <v>442</v>
      </c>
      <c r="B20" s="321">
        <v>716</v>
      </c>
      <c r="C20" s="321">
        <v>907</v>
      </c>
      <c r="D20" s="322">
        <f t="shared" si="0"/>
        <v>126.68</v>
      </c>
      <c r="E20" s="321">
        <v>225</v>
      </c>
    </row>
    <row r="21" spans="1:5" s="318" customFormat="1" ht="12.75">
      <c r="A21" s="324" t="s">
        <v>443</v>
      </c>
      <c r="B21" s="321">
        <v>17715</v>
      </c>
      <c r="C21" s="321">
        <v>14582</v>
      </c>
      <c r="D21" s="322">
        <f t="shared" si="0"/>
        <v>82.31</v>
      </c>
      <c r="E21" s="321">
        <v>1024</v>
      </c>
    </row>
    <row r="22" spans="1:7" ht="12.75">
      <c r="A22" s="326" t="s">
        <v>444</v>
      </c>
      <c r="B22" s="321">
        <v>324</v>
      </c>
      <c r="C22" s="321">
        <v>314</v>
      </c>
      <c r="D22" s="322">
        <f t="shared" si="0"/>
        <v>96.91</v>
      </c>
      <c r="E22" s="321">
        <v>-49</v>
      </c>
      <c r="F22" s="318"/>
      <c r="G22" s="318"/>
    </row>
    <row r="23" spans="1:7" ht="12.75">
      <c r="A23" s="326" t="s">
        <v>445</v>
      </c>
      <c r="B23" s="321">
        <v>2923</v>
      </c>
      <c r="C23" s="321">
        <v>3047</v>
      </c>
      <c r="D23" s="322">
        <f t="shared" si="0"/>
        <v>104.24</v>
      </c>
      <c r="E23" s="321">
        <v>381</v>
      </c>
      <c r="F23" s="318"/>
      <c r="G23" s="318"/>
    </row>
    <row r="24" spans="1:7" ht="12.75">
      <c r="A24" s="326" t="s">
        <v>446</v>
      </c>
      <c r="B24" s="321">
        <v>284</v>
      </c>
      <c r="C24" s="321">
        <v>229</v>
      </c>
      <c r="D24" s="322">
        <f t="shared" si="0"/>
        <v>80.63</v>
      </c>
      <c r="E24" s="321">
        <v>-57</v>
      </c>
      <c r="F24" s="318"/>
      <c r="G24" s="318"/>
    </row>
    <row r="25" spans="1:7" ht="12.75">
      <c r="A25" s="326" t="s">
        <v>447</v>
      </c>
      <c r="B25" s="321">
        <v>13419</v>
      </c>
      <c r="C25" s="321">
        <v>10529</v>
      </c>
      <c r="D25" s="322">
        <f t="shared" si="0"/>
        <v>78.46</v>
      </c>
      <c r="E25" s="321">
        <v>988</v>
      </c>
      <c r="F25" s="318"/>
      <c r="G25" s="318"/>
    </row>
    <row r="26" spans="1:7" ht="22.5">
      <c r="A26" s="327" t="s">
        <v>448</v>
      </c>
      <c r="B26" s="321">
        <v>677</v>
      </c>
      <c r="C26" s="321">
        <v>397</v>
      </c>
      <c r="D26" s="322">
        <f t="shared" si="0"/>
        <v>58.64</v>
      </c>
      <c r="E26" s="321">
        <v>17</v>
      </c>
      <c r="F26" s="318"/>
      <c r="G26" s="318"/>
    </row>
    <row r="27" spans="1:7" ht="12.75">
      <c r="A27" s="326" t="s">
        <v>449</v>
      </c>
      <c r="B27" s="321">
        <v>88</v>
      </c>
      <c r="C27" s="321">
        <v>66</v>
      </c>
      <c r="D27" s="322">
        <f t="shared" si="0"/>
        <v>75</v>
      </c>
      <c r="E27" s="321">
        <v>-256</v>
      </c>
      <c r="F27" s="318"/>
      <c r="G27" s="318"/>
    </row>
    <row r="28" spans="1:7" ht="38.25">
      <c r="A28" s="328" t="s">
        <v>450</v>
      </c>
      <c r="B28" s="321">
        <v>25275</v>
      </c>
      <c r="C28" s="321">
        <v>21111</v>
      </c>
      <c r="D28" s="322">
        <f t="shared" si="0"/>
        <v>83.53</v>
      </c>
      <c r="E28" s="321">
        <v>2777</v>
      </c>
      <c r="F28" s="318"/>
      <c r="G28" s="318"/>
    </row>
    <row r="29" spans="1:7" ht="12.75">
      <c r="A29" s="324" t="s">
        <v>451</v>
      </c>
      <c r="B29" s="321">
        <v>130255</v>
      </c>
      <c r="C29" s="321">
        <v>108718</v>
      </c>
      <c r="D29" s="322">
        <f t="shared" si="0"/>
        <v>83.47</v>
      </c>
      <c r="E29" s="321">
        <v>11441</v>
      </c>
      <c r="F29" s="318"/>
      <c r="G29" s="318"/>
    </row>
    <row r="30" spans="1:7" ht="12.75">
      <c r="A30" s="329" t="s">
        <v>452</v>
      </c>
      <c r="B30" s="321">
        <v>6446</v>
      </c>
      <c r="C30" s="321">
        <v>4678</v>
      </c>
      <c r="D30" s="322">
        <f t="shared" si="0"/>
        <v>72.57</v>
      </c>
      <c r="E30" s="321">
        <v>666</v>
      </c>
      <c r="F30" s="318"/>
      <c r="G30" s="318"/>
    </row>
    <row r="31" spans="1:7" ht="22.5">
      <c r="A31" s="327" t="s">
        <v>453</v>
      </c>
      <c r="B31" s="321">
        <v>5167</v>
      </c>
      <c r="C31" s="321">
        <v>3629</v>
      </c>
      <c r="D31" s="322">
        <f t="shared" si="0"/>
        <v>70.23</v>
      </c>
      <c r="E31" s="321">
        <v>561</v>
      </c>
      <c r="F31" s="318"/>
      <c r="G31" s="318"/>
    </row>
    <row r="32" spans="1:7" ht="22.5">
      <c r="A32" s="327" t="s">
        <v>454</v>
      </c>
      <c r="B32" s="321">
        <v>253</v>
      </c>
      <c r="C32" s="321">
        <v>209</v>
      </c>
      <c r="D32" s="322">
        <f t="shared" si="0"/>
        <v>82.61</v>
      </c>
      <c r="E32" s="321">
        <v>24</v>
      </c>
      <c r="F32" s="318"/>
      <c r="G32" s="318"/>
    </row>
    <row r="33" spans="1:7" ht="12.75">
      <c r="A33" s="326" t="s">
        <v>455</v>
      </c>
      <c r="B33" s="321">
        <v>1026</v>
      </c>
      <c r="C33" s="321">
        <v>840</v>
      </c>
      <c r="D33" s="322">
        <f t="shared" si="0"/>
        <v>81.87</v>
      </c>
      <c r="E33" s="321">
        <v>81</v>
      </c>
      <c r="F33" s="318"/>
      <c r="G33" s="318"/>
    </row>
    <row r="34" spans="1:7" ht="12.75">
      <c r="A34" s="329" t="s">
        <v>456</v>
      </c>
      <c r="B34" s="321">
        <v>92785</v>
      </c>
      <c r="C34" s="321">
        <v>77933</v>
      </c>
      <c r="D34" s="322">
        <f t="shared" si="0"/>
        <v>83.99</v>
      </c>
      <c r="E34" s="321">
        <v>8116</v>
      </c>
      <c r="F34" s="318"/>
      <c r="G34" s="318"/>
    </row>
    <row r="35" spans="1:7" ht="12.75">
      <c r="A35" s="326" t="s">
        <v>457</v>
      </c>
      <c r="B35" s="321">
        <v>46</v>
      </c>
      <c r="C35" s="321">
        <v>55</v>
      </c>
      <c r="D35" s="322">
        <f t="shared" si="0"/>
        <v>119.57</v>
      </c>
      <c r="E35" s="321">
        <v>0</v>
      </c>
      <c r="F35" s="318"/>
      <c r="G35" s="318"/>
    </row>
    <row r="36" spans="1:5" ht="12">
      <c r="A36" s="326" t="s">
        <v>458</v>
      </c>
      <c r="B36" s="321">
        <v>34</v>
      </c>
      <c r="C36" s="321">
        <v>43</v>
      </c>
      <c r="D36" s="322">
        <f t="shared" si="0"/>
        <v>126.47</v>
      </c>
      <c r="E36" s="321">
        <v>0</v>
      </c>
    </row>
    <row r="37" spans="1:5" ht="12">
      <c r="A37" s="326" t="s">
        <v>459</v>
      </c>
      <c r="B37" s="321">
        <v>92739</v>
      </c>
      <c r="C37" s="321">
        <v>77878</v>
      </c>
      <c r="D37" s="322">
        <f t="shared" si="0"/>
        <v>83.98</v>
      </c>
      <c r="E37" s="321">
        <v>8116</v>
      </c>
    </row>
    <row r="38" spans="1:5" ht="22.5">
      <c r="A38" s="330" t="s">
        <v>460</v>
      </c>
      <c r="B38" s="321">
        <v>30149</v>
      </c>
      <c r="C38" s="321">
        <v>25133</v>
      </c>
      <c r="D38" s="322">
        <f t="shared" si="0"/>
        <v>83.36</v>
      </c>
      <c r="E38" s="321">
        <v>2511</v>
      </c>
    </row>
    <row r="39" spans="1:5" ht="12">
      <c r="A39" s="326" t="s">
        <v>457</v>
      </c>
      <c r="B39" s="321">
        <v>30149</v>
      </c>
      <c r="C39" s="321">
        <v>25133</v>
      </c>
      <c r="D39" s="322">
        <f t="shared" si="0"/>
        <v>83.36</v>
      </c>
      <c r="E39" s="321">
        <v>2511</v>
      </c>
    </row>
    <row r="40" spans="1:5" ht="12">
      <c r="A40" s="326" t="s">
        <v>461</v>
      </c>
      <c r="B40" s="321">
        <v>0</v>
      </c>
      <c r="C40" s="321">
        <v>0</v>
      </c>
      <c r="D40" s="322"/>
      <c r="E40" s="321">
        <v>0</v>
      </c>
    </row>
    <row r="41" spans="1:5" ht="22.5">
      <c r="A41" s="327" t="s">
        <v>462</v>
      </c>
      <c r="B41" s="321">
        <v>0</v>
      </c>
      <c r="C41" s="321">
        <v>0</v>
      </c>
      <c r="D41" s="322"/>
      <c r="E41" s="321">
        <v>0</v>
      </c>
    </row>
    <row r="42" spans="1:5" ht="12">
      <c r="A42" s="329" t="s">
        <v>463</v>
      </c>
      <c r="B42" s="321">
        <v>875</v>
      </c>
      <c r="C42" s="321">
        <v>974</v>
      </c>
      <c r="D42" s="322">
        <f>C42/B42*100</f>
        <v>111.31</v>
      </c>
      <c r="E42" s="321">
        <v>148</v>
      </c>
    </row>
    <row r="43" spans="1:5" ht="12">
      <c r="A43" s="331" t="s">
        <v>464</v>
      </c>
      <c r="B43" s="332"/>
      <c r="C43" s="332"/>
      <c r="D43" s="333"/>
      <c r="E43" s="334"/>
    </row>
    <row r="44" spans="1:5" ht="12.75">
      <c r="A44" s="331" t="s">
        <v>465</v>
      </c>
      <c r="B44" s="335"/>
      <c r="C44" s="335"/>
      <c r="D44" s="335"/>
      <c r="E44" s="334"/>
    </row>
    <row r="45" spans="1:5" ht="12.75">
      <c r="A45" s="331"/>
      <c r="B45" s="335"/>
      <c r="C45" s="335"/>
      <c r="D45" s="335"/>
      <c r="E45" s="334"/>
    </row>
    <row r="46" spans="1:5" ht="12.75">
      <c r="A46" s="331"/>
      <c r="B46" s="335"/>
      <c r="C46" s="335"/>
      <c r="D46" s="335"/>
      <c r="E46" s="334"/>
    </row>
    <row r="47" spans="1:4" s="333" customFormat="1" ht="12">
      <c r="A47" s="336"/>
      <c r="B47" s="334"/>
      <c r="C47" s="332"/>
      <c r="D47" s="332"/>
    </row>
    <row r="48" spans="1:5" s="340" customFormat="1" ht="15.75" customHeight="1">
      <c r="A48" s="337" t="s">
        <v>466</v>
      </c>
      <c r="B48" s="337"/>
      <c r="C48" s="338"/>
      <c r="D48" s="338"/>
      <c r="E48" s="339" t="s">
        <v>467</v>
      </c>
    </row>
    <row r="49" spans="1:4" ht="12.75">
      <c r="A49" s="335"/>
      <c r="B49" s="333"/>
      <c r="C49" s="333"/>
      <c r="D49" s="333"/>
    </row>
    <row r="50" spans="1:4" s="333" customFormat="1" ht="13.5" customHeight="1">
      <c r="A50" s="341"/>
      <c r="C50" s="342"/>
      <c r="D50" s="305"/>
    </row>
    <row r="51" spans="1:4" ht="12.75">
      <c r="A51" s="335"/>
      <c r="B51" s="333"/>
      <c r="C51" s="333"/>
      <c r="D51" s="333"/>
    </row>
    <row r="52" spans="1:4" s="333" customFormat="1" ht="11.25">
      <c r="A52" s="341"/>
      <c r="C52" s="342"/>
      <c r="D52" s="305"/>
    </row>
    <row r="53" spans="1:4" ht="13.5" customHeight="1">
      <c r="A53" s="335"/>
      <c r="B53" s="333"/>
      <c r="C53" s="333"/>
      <c r="D53" s="333"/>
    </row>
    <row r="54" spans="1:3" ht="12">
      <c r="A54" s="337"/>
      <c r="B54" s="343"/>
      <c r="C54" s="342"/>
    </row>
    <row r="55" spans="1:3" ht="12">
      <c r="A55" s="337"/>
      <c r="B55" s="343"/>
      <c r="C55" s="313"/>
    </row>
    <row r="57" spans="1:3" ht="12">
      <c r="A57" s="314"/>
      <c r="B57" s="343"/>
      <c r="C57" s="340"/>
    </row>
    <row r="58" spans="1:3" ht="12">
      <c r="A58" s="337"/>
      <c r="B58" s="343"/>
      <c r="C58" s="340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15.11.99.
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9">
      <selection activeCell="E47" sqref="E47"/>
    </sheetView>
  </sheetViews>
  <sheetFormatPr defaultColWidth="9.140625" defaultRowHeight="12.75"/>
  <cols>
    <col min="1" max="1" width="41.00390625" style="311" customWidth="1"/>
    <col min="2" max="2" width="13.140625" style="370" customWidth="1"/>
    <col min="3" max="5" width="13.140625" style="305" customWidth="1"/>
    <col min="6" max="6" width="11.28125" style="305" customWidth="1"/>
    <col min="7" max="16384" width="8.00390625" style="305" customWidth="1"/>
  </cols>
  <sheetData>
    <row r="1" spans="1:6" ht="12.75">
      <c r="A1" s="303" t="s">
        <v>468</v>
      </c>
      <c r="B1" s="303"/>
      <c r="C1" s="304"/>
      <c r="D1" s="304"/>
      <c r="E1" s="304" t="s">
        <v>469</v>
      </c>
      <c r="F1" s="335" t="s">
        <v>63</v>
      </c>
    </row>
    <row r="2" spans="1:6" ht="12.75">
      <c r="A2" s="303"/>
      <c r="B2" s="303"/>
      <c r="C2" s="304"/>
      <c r="D2" s="304"/>
      <c r="E2" s="304"/>
      <c r="F2" s="335"/>
    </row>
    <row r="3" spans="1:6" ht="12.75">
      <c r="A3" s="303"/>
      <c r="B3" s="303"/>
      <c r="C3" s="304"/>
      <c r="D3" s="304"/>
      <c r="E3" s="304"/>
      <c r="F3" s="335"/>
    </row>
    <row r="4" spans="1:5" s="313" customFormat="1" ht="11.25">
      <c r="A4" s="344"/>
      <c r="B4" s="344"/>
      <c r="C4" s="315"/>
      <c r="D4" s="315"/>
      <c r="E4" s="315"/>
    </row>
    <row r="5" spans="1:6" ht="15.75">
      <c r="A5" s="307" t="s">
        <v>470</v>
      </c>
      <c r="B5" s="308"/>
      <c r="C5" s="309"/>
      <c r="D5" s="309"/>
      <c r="E5" s="309"/>
      <c r="F5" s="309"/>
    </row>
    <row r="6" spans="1:6" s="310" customFormat="1" ht="15.75">
      <c r="A6" s="307" t="s">
        <v>471</v>
      </c>
      <c r="B6" s="308"/>
      <c r="C6" s="309"/>
      <c r="D6" s="309"/>
      <c r="E6" s="309"/>
      <c r="F6" s="309"/>
    </row>
    <row r="7" spans="1:6" s="310" customFormat="1" ht="15">
      <c r="A7" s="311"/>
      <c r="B7" s="345"/>
      <c r="C7" s="312"/>
      <c r="D7" s="312"/>
      <c r="E7" s="312"/>
      <c r="F7" s="305"/>
    </row>
    <row r="8" spans="1:6" ht="11.25">
      <c r="A8" s="314"/>
      <c r="B8" s="346"/>
      <c r="C8" s="313"/>
      <c r="D8" s="315" t="s">
        <v>472</v>
      </c>
      <c r="E8" s="315"/>
      <c r="F8" s="347"/>
    </row>
    <row r="9" spans="1:5" s="313" customFormat="1" ht="43.5" customHeight="1">
      <c r="A9" s="348" t="s">
        <v>2</v>
      </c>
      <c r="B9" s="349" t="s">
        <v>432</v>
      </c>
      <c r="C9" s="349" t="s">
        <v>50</v>
      </c>
      <c r="D9" s="349" t="s">
        <v>433</v>
      </c>
      <c r="E9" s="350" t="s">
        <v>6</v>
      </c>
    </row>
    <row r="10" spans="1:5" ht="11.25">
      <c r="A10" s="351" t="s">
        <v>434</v>
      </c>
      <c r="B10" s="319" t="s">
        <v>473</v>
      </c>
      <c r="C10" s="319" t="s">
        <v>474</v>
      </c>
      <c r="D10" s="319" t="s">
        <v>475</v>
      </c>
      <c r="E10" s="352" t="s">
        <v>476</v>
      </c>
    </row>
    <row r="11" spans="1:5" ht="12.75">
      <c r="A11" s="353" t="s">
        <v>477</v>
      </c>
      <c r="B11" s="321">
        <f>B12+B30</f>
        <v>388334</v>
      </c>
      <c r="C11" s="321">
        <f>C12+C30</f>
        <v>327867</v>
      </c>
      <c r="D11" s="322">
        <f aca="true" t="shared" si="0" ref="D11:D36">C11/B11*100</f>
        <v>84.43</v>
      </c>
      <c r="E11" s="354">
        <f>E12+E30</f>
        <v>34618</v>
      </c>
    </row>
    <row r="12" spans="1:5" s="318" customFormat="1" ht="12.75">
      <c r="A12" s="355" t="s">
        <v>478</v>
      </c>
      <c r="B12" s="321">
        <v>357583</v>
      </c>
      <c r="C12" s="321">
        <v>303208</v>
      </c>
      <c r="D12" s="322">
        <f t="shared" si="0"/>
        <v>84.79</v>
      </c>
      <c r="E12" s="354">
        <v>31941</v>
      </c>
    </row>
    <row r="13" spans="1:5" s="340" customFormat="1" ht="12">
      <c r="A13" s="356" t="s">
        <v>479</v>
      </c>
      <c r="B13" s="321">
        <v>46352</v>
      </c>
      <c r="C13" s="321">
        <v>36016</v>
      </c>
      <c r="D13" s="322">
        <f t="shared" si="0"/>
        <v>77.7</v>
      </c>
      <c r="E13" s="354">
        <v>3631</v>
      </c>
    </row>
    <row r="14" spans="1:5" s="340" customFormat="1" ht="12">
      <c r="A14" s="356" t="s">
        <v>397</v>
      </c>
      <c r="B14" s="321">
        <v>165</v>
      </c>
      <c r="C14" s="321">
        <v>124</v>
      </c>
      <c r="D14" s="322">
        <f t="shared" si="0"/>
        <v>75.15</v>
      </c>
      <c r="E14" s="354"/>
    </row>
    <row r="15" spans="1:5" s="340" customFormat="1" ht="12">
      <c r="A15" s="356" t="s">
        <v>398</v>
      </c>
      <c r="B15" s="321">
        <v>6096</v>
      </c>
      <c r="C15" s="321">
        <v>4789</v>
      </c>
      <c r="D15" s="322">
        <f t="shared" si="0"/>
        <v>78.56</v>
      </c>
      <c r="E15" s="354">
        <v>432</v>
      </c>
    </row>
    <row r="16" spans="1:9" s="340" customFormat="1" ht="12">
      <c r="A16" s="356" t="s">
        <v>399</v>
      </c>
      <c r="B16" s="321">
        <v>180727</v>
      </c>
      <c r="C16" s="321">
        <v>147307</v>
      </c>
      <c r="D16" s="322">
        <f t="shared" si="0"/>
        <v>81.51</v>
      </c>
      <c r="E16" s="354">
        <v>14812</v>
      </c>
      <c r="I16" s="340" t="s">
        <v>63</v>
      </c>
    </row>
    <row r="17" spans="1:5" s="340" customFormat="1" ht="12">
      <c r="A17" s="356" t="s">
        <v>400</v>
      </c>
      <c r="B17" s="321">
        <v>4502</v>
      </c>
      <c r="C17" s="321">
        <v>5694</v>
      </c>
      <c r="D17" s="322">
        <f t="shared" si="0"/>
        <v>126.48</v>
      </c>
      <c r="E17" s="354">
        <v>332</v>
      </c>
    </row>
    <row r="18" spans="1:5" s="340" customFormat="1" ht="12">
      <c r="A18" s="356" t="s">
        <v>401</v>
      </c>
      <c r="B18" s="321">
        <v>32628</v>
      </c>
      <c r="C18" s="321">
        <v>25731</v>
      </c>
      <c r="D18" s="322">
        <f t="shared" si="0"/>
        <v>78.86</v>
      </c>
      <c r="E18" s="354">
        <v>2455</v>
      </c>
    </row>
    <row r="19" spans="1:5" s="340" customFormat="1" ht="12">
      <c r="A19" s="356" t="s">
        <v>402</v>
      </c>
      <c r="B19" s="321">
        <v>48359</v>
      </c>
      <c r="C19" s="321">
        <v>50251</v>
      </c>
      <c r="D19" s="322">
        <f t="shared" si="0"/>
        <v>103.91</v>
      </c>
      <c r="E19" s="354">
        <v>6619</v>
      </c>
    </row>
    <row r="20" spans="1:5" s="340" customFormat="1" ht="12">
      <c r="A20" s="356" t="s">
        <v>480</v>
      </c>
      <c r="B20" s="321">
        <v>21324</v>
      </c>
      <c r="C20" s="321">
        <v>18493</v>
      </c>
      <c r="D20" s="322">
        <f t="shared" si="0"/>
        <v>86.72</v>
      </c>
      <c r="E20" s="354">
        <v>2124</v>
      </c>
    </row>
    <row r="21" spans="1:5" s="340" customFormat="1" ht="12">
      <c r="A21" s="356" t="s">
        <v>404</v>
      </c>
      <c r="B21" s="321">
        <v>3113</v>
      </c>
      <c r="C21" s="321">
        <v>1947</v>
      </c>
      <c r="D21" s="322">
        <f t="shared" si="0"/>
        <v>62.54</v>
      </c>
      <c r="E21" s="354">
        <v>289</v>
      </c>
    </row>
    <row r="22" spans="1:5" s="340" customFormat="1" ht="12">
      <c r="A22" s="356" t="s">
        <v>481</v>
      </c>
      <c r="B22" s="321">
        <v>387</v>
      </c>
      <c r="C22" s="321">
        <v>315</v>
      </c>
      <c r="D22" s="322">
        <f t="shared" si="0"/>
        <v>81.4</v>
      </c>
      <c r="E22" s="354">
        <v>44</v>
      </c>
    </row>
    <row r="23" spans="1:5" s="340" customFormat="1" ht="22.5">
      <c r="A23" s="356" t="s">
        <v>406</v>
      </c>
      <c r="B23" s="321">
        <v>391</v>
      </c>
      <c r="C23" s="321">
        <v>327</v>
      </c>
      <c r="D23" s="322">
        <f t="shared" si="0"/>
        <v>83.63</v>
      </c>
      <c r="E23" s="354">
        <v>0</v>
      </c>
    </row>
    <row r="24" spans="1:5" s="340" customFormat="1" ht="12">
      <c r="A24" s="356" t="s">
        <v>482</v>
      </c>
      <c r="B24" s="321">
        <v>6941</v>
      </c>
      <c r="C24" s="321">
        <v>8284</v>
      </c>
      <c r="D24" s="322">
        <f t="shared" si="0"/>
        <v>119.35</v>
      </c>
      <c r="E24" s="354">
        <v>758</v>
      </c>
    </row>
    <row r="25" spans="1:5" s="340" customFormat="1" ht="12">
      <c r="A25" s="356" t="s">
        <v>408</v>
      </c>
      <c r="B25" s="321">
        <v>848</v>
      </c>
      <c r="C25" s="321">
        <v>717</v>
      </c>
      <c r="D25" s="322">
        <f t="shared" si="0"/>
        <v>84.55</v>
      </c>
      <c r="E25" s="354">
        <v>81</v>
      </c>
    </row>
    <row r="26" spans="1:5" s="340" customFormat="1" ht="12">
      <c r="A26" s="356" t="s">
        <v>483</v>
      </c>
      <c r="B26" s="321">
        <v>2061</v>
      </c>
      <c r="C26" s="321">
        <v>1636</v>
      </c>
      <c r="D26" s="322">
        <f t="shared" si="0"/>
        <v>79.38</v>
      </c>
      <c r="E26" s="354">
        <v>293</v>
      </c>
    </row>
    <row r="27" spans="1:5" s="340" customFormat="1" ht="12">
      <c r="A27" s="356" t="s">
        <v>484</v>
      </c>
      <c r="B27" s="321">
        <v>335</v>
      </c>
      <c r="C27" s="321">
        <v>236</v>
      </c>
      <c r="D27" s="322">
        <f t="shared" si="0"/>
        <v>70.45</v>
      </c>
      <c r="E27" s="354">
        <v>39</v>
      </c>
    </row>
    <row r="28" spans="1:5" s="340" customFormat="1" ht="12">
      <c r="A28" s="356" t="s">
        <v>485</v>
      </c>
      <c r="B28" s="321">
        <v>1157</v>
      </c>
      <c r="C28" s="321">
        <v>18</v>
      </c>
      <c r="D28" s="322">
        <f t="shared" si="0"/>
        <v>1.56</v>
      </c>
      <c r="E28" s="354">
        <v>6</v>
      </c>
    </row>
    <row r="29" spans="1:5" s="340" customFormat="1" ht="12">
      <c r="A29" s="356" t="s">
        <v>486</v>
      </c>
      <c r="B29" s="321">
        <v>2197</v>
      </c>
      <c r="C29" s="321">
        <v>1323</v>
      </c>
      <c r="D29" s="322">
        <f t="shared" si="0"/>
        <v>60.22</v>
      </c>
      <c r="E29" s="354">
        <v>26</v>
      </c>
    </row>
    <row r="30" spans="1:5" s="340" customFormat="1" ht="12.75" customHeight="1">
      <c r="A30" s="355" t="s">
        <v>487</v>
      </c>
      <c r="B30" s="321">
        <v>30751</v>
      </c>
      <c r="C30" s="321">
        <v>24659</v>
      </c>
      <c r="D30" s="322">
        <f t="shared" si="0"/>
        <v>80.19</v>
      </c>
      <c r="E30" s="354">
        <v>2677</v>
      </c>
    </row>
    <row r="31" spans="1:5" s="340" customFormat="1" ht="12">
      <c r="A31" s="357" t="s">
        <v>452</v>
      </c>
      <c r="B31" s="321">
        <v>6699</v>
      </c>
      <c r="C31" s="321">
        <v>4789</v>
      </c>
      <c r="D31" s="322">
        <f t="shared" si="0"/>
        <v>71.49</v>
      </c>
      <c r="E31" s="354">
        <v>661</v>
      </c>
    </row>
    <row r="32" spans="1:5" s="340" customFormat="1" ht="22.5">
      <c r="A32" s="358" t="s">
        <v>488</v>
      </c>
      <c r="B32" s="321">
        <v>5746</v>
      </c>
      <c r="C32" s="321">
        <v>4010</v>
      </c>
      <c r="D32" s="322">
        <f t="shared" si="0"/>
        <v>69.79</v>
      </c>
      <c r="E32" s="354">
        <v>601</v>
      </c>
    </row>
    <row r="33" spans="1:5" s="340" customFormat="1" ht="22.5">
      <c r="A33" s="358" t="s">
        <v>489</v>
      </c>
      <c r="B33" s="321">
        <v>362</v>
      </c>
      <c r="C33" s="321">
        <v>272</v>
      </c>
      <c r="D33" s="322">
        <f t="shared" si="0"/>
        <v>75.14</v>
      </c>
      <c r="E33" s="354">
        <v>10</v>
      </c>
    </row>
    <row r="34" spans="1:5" s="340" customFormat="1" ht="12">
      <c r="A34" s="358" t="s">
        <v>455</v>
      </c>
      <c r="B34" s="321">
        <v>591</v>
      </c>
      <c r="C34" s="321">
        <v>507</v>
      </c>
      <c r="D34" s="322">
        <f t="shared" si="0"/>
        <v>85.79</v>
      </c>
      <c r="E34" s="354">
        <v>50</v>
      </c>
    </row>
    <row r="35" spans="1:5" s="340" customFormat="1" ht="22.5">
      <c r="A35" s="357" t="s">
        <v>490</v>
      </c>
      <c r="B35" s="321">
        <v>24052</v>
      </c>
      <c r="C35" s="321">
        <v>19870</v>
      </c>
      <c r="D35" s="322">
        <f t="shared" si="0"/>
        <v>82.61</v>
      </c>
      <c r="E35" s="354">
        <v>2016</v>
      </c>
    </row>
    <row r="36" spans="1:5" s="340" customFormat="1" ht="12">
      <c r="A36" s="358" t="s">
        <v>491</v>
      </c>
      <c r="B36" s="321">
        <v>24052</v>
      </c>
      <c r="C36" s="321">
        <v>19870</v>
      </c>
      <c r="D36" s="322">
        <f t="shared" si="0"/>
        <v>82.61</v>
      </c>
      <c r="E36" s="354">
        <v>2016</v>
      </c>
    </row>
    <row r="37" spans="1:5" s="362" customFormat="1" ht="12">
      <c r="A37" s="359" t="s">
        <v>492</v>
      </c>
      <c r="B37" s="360">
        <v>0</v>
      </c>
      <c r="C37" s="360">
        <v>0</v>
      </c>
      <c r="D37" s="360">
        <v>0</v>
      </c>
      <c r="E37" s="361">
        <v>0</v>
      </c>
    </row>
    <row r="38" spans="1:8" s="340" customFormat="1" ht="12">
      <c r="A38" s="313" t="s">
        <v>493</v>
      </c>
      <c r="C38" s="340">
        <v>0</v>
      </c>
      <c r="D38" s="340">
        <v>0</v>
      </c>
      <c r="E38" s="305"/>
      <c r="F38" s="305"/>
      <c r="G38" s="305"/>
      <c r="H38" s="305"/>
    </row>
    <row r="39" spans="1:8" s="340" customFormat="1" ht="12">
      <c r="A39" s="363"/>
      <c r="B39" s="364"/>
      <c r="C39" s="365"/>
      <c r="D39" s="365"/>
      <c r="E39" s="305"/>
      <c r="F39" s="305"/>
      <c r="G39" s="305"/>
      <c r="H39" s="305"/>
    </row>
    <row r="40" spans="1:8" s="340" customFormat="1" ht="12">
      <c r="A40" s="363"/>
      <c r="B40" s="364"/>
      <c r="C40" s="365"/>
      <c r="D40" s="365"/>
      <c r="E40" s="305"/>
      <c r="F40" s="305"/>
      <c r="G40" s="305"/>
      <c r="H40" s="305"/>
    </row>
    <row r="41" spans="1:8" s="340" customFormat="1" ht="12">
      <c r="A41" s="337"/>
      <c r="B41" s="366"/>
      <c r="E41" s="305"/>
      <c r="F41" s="305"/>
      <c r="G41" s="305"/>
      <c r="H41" s="305"/>
    </row>
    <row r="42" spans="1:8" s="340" customFormat="1" ht="12">
      <c r="A42" s="337" t="s">
        <v>466</v>
      </c>
      <c r="B42" s="337"/>
      <c r="C42" s="367"/>
      <c r="D42" s="367"/>
      <c r="E42" s="368" t="s">
        <v>467</v>
      </c>
      <c r="F42" s="305"/>
      <c r="G42" s="305"/>
      <c r="H42" s="305"/>
    </row>
    <row r="43" spans="1:8" s="340" customFormat="1" ht="12">
      <c r="A43" s="337"/>
      <c r="B43" s="337"/>
      <c r="C43" s="369"/>
      <c r="D43" s="369"/>
      <c r="E43" s="305"/>
      <c r="F43" s="305"/>
      <c r="G43" s="305"/>
      <c r="H43" s="305"/>
    </row>
    <row r="44" spans="1:8" s="340" customFormat="1" ht="12">
      <c r="A44" s="337"/>
      <c r="B44" s="366"/>
      <c r="E44" s="305"/>
      <c r="F44" s="305"/>
      <c r="G44" s="305"/>
      <c r="H44" s="305"/>
    </row>
    <row r="45" spans="1:8" s="340" customFormat="1" ht="12">
      <c r="A45" s="337"/>
      <c r="B45" s="337"/>
      <c r="C45" s="369"/>
      <c r="D45" s="369"/>
      <c r="E45" s="305"/>
      <c r="F45" s="305"/>
      <c r="G45" s="305"/>
      <c r="H45" s="305"/>
    </row>
    <row r="46" spans="1:8" s="340" customFormat="1" ht="12">
      <c r="A46" s="337"/>
      <c r="B46" s="337"/>
      <c r="C46" s="369"/>
      <c r="E46" s="305"/>
      <c r="F46" s="305"/>
      <c r="G46" s="305"/>
      <c r="H46" s="305"/>
    </row>
    <row r="47" spans="1:4" ht="12">
      <c r="A47" s="337"/>
      <c r="B47" s="311"/>
      <c r="C47" s="343"/>
      <c r="D47" s="369"/>
    </row>
    <row r="65" spans="5:8" ht="11.25">
      <c r="E65" s="305">
        <v>0</v>
      </c>
      <c r="F65" s="305">
        <v>0</v>
      </c>
      <c r="G65" s="305">
        <v>0</v>
      </c>
      <c r="H65" s="305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15.11.99.
</oddFooter>
  </headerFooter>
  <rowBreaks count="1" manualBreakCount="1">
    <brk id="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">
      <selection activeCell="E47" sqref="E47"/>
    </sheetView>
  </sheetViews>
  <sheetFormatPr defaultColWidth="9.140625" defaultRowHeight="12.75"/>
  <cols>
    <col min="1" max="1" width="40.57421875" style="311" customWidth="1"/>
    <col min="2" max="5" width="12.28125" style="305" customWidth="1"/>
    <col min="6" max="16384" width="8.00390625" style="305" customWidth="1"/>
  </cols>
  <sheetData>
    <row r="1" spans="1:5" s="313" customFormat="1" ht="12.75">
      <c r="A1" s="303" t="s">
        <v>494</v>
      </c>
      <c r="B1" s="304"/>
      <c r="C1" s="304"/>
      <c r="D1" s="304"/>
      <c r="E1" s="304" t="s">
        <v>495</v>
      </c>
    </row>
    <row r="2" spans="1:6" s="318" customFormat="1" ht="12.75">
      <c r="A2" s="303"/>
      <c r="B2" s="304"/>
      <c r="C2" s="304"/>
      <c r="D2" s="304"/>
      <c r="E2" s="371"/>
      <c r="F2" s="335"/>
    </row>
    <row r="3" spans="1:5" s="313" customFormat="1" ht="11.25">
      <c r="A3" s="314"/>
      <c r="D3" s="315"/>
      <c r="E3" s="315"/>
    </row>
    <row r="4" spans="1:5" s="310" customFormat="1" ht="15.75">
      <c r="A4" s="307" t="s">
        <v>496</v>
      </c>
      <c r="B4" s="309"/>
      <c r="C4" s="309"/>
      <c r="D4" s="309"/>
      <c r="E4" s="309"/>
    </row>
    <row r="5" spans="1:5" s="310" customFormat="1" ht="15.75">
      <c r="A5" s="307" t="s">
        <v>471</v>
      </c>
      <c r="B5" s="309"/>
      <c r="C5" s="309"/>
      <c r="D5" s="309"/>
      <c r="E5" s="309"/>
    </row>
    <row r="6" spans="1:4" ht="15">
      <c r="A6" s="372"/>
      <c r="B6" s="312"/>
      <c r="C6" s="312"/>
      <c r="D6" s="312"/>
    </row>
    <row r="7" spans="1:4" ht="15">
      <c r="A7" s="372"/>
      <c r="B7" s="312"/>
      <c r="C7" s="312"/>
      <c r="D7" s="312"/>
    </row>
    <row r="8" spans="1:5" s="313" customFormat="1" ht="11.25" customHeight="1">
      <c r="A8" s="314"/>
      <c r="C8" s="315" t="s">
        <v>497</v>
      </c>
      <c r="D8" s="315"/>
      <c r="E8" s="315"/>
    </row>
    <row r="9" spans="1:5" s="313" customFormat="1" ht="33.75" customHeight="1">
      <c r="A9" s="348" t="s">
        <v>2</v>
      </c>
      <c r="B9" s="349" t="s">
        <v>432</v>
      </c>
      <c r="C9" s="349" t="s">
        <v>50</v>
      </c>
      <c r="D9" s="349" t="s">
        <v>433</v>
      </c>
      <c r="E9" s="350" t="s">
        <v>6</v>
      </c>
    </row>
    <row r="10" spans="1:5" s="318" customFormat="1" ht="12.75" customHeight="1">
      <c r="A10" s="351" t="s">
        <v>434</v>
      </c>
      <c r="B10" s="319" t="s">
        <v>473</v>
      </c>
      <c r="C10" s="319" t="s">
        <v>474</v>
      </c>
      <c r="D10" s="319" t="s">
        <v>475</v>
      </c>
      <c r="E10" s="352" t="s">
        <v>476</v>
      </c>
    </row>
    <row r="11" spans="1:5" s="318" customFormat="1" ht="12.75" customHeight="1">
      <c r="A11" s="353" t="s">
        <v>226</v>
      </c>
      <c r="B11" s="321">
        <v>388112</v>
      </c>
      <c r="C11" s="321">
        <v>326629</v>
      </c>
      <c r="D11" s="322">
        <f aca="true" t="shared" si="0" ref="D11:D40">C11/B11*100</f>
        <v>84.16</v>
      </c>
      <c r="E11" s="354">
        <v>32688</v>
      </c>
    </row>
    <row r="12" spans="1:5" s="318" customFormat="1" ht="12.75">
      <c r="A12" s="353" t="s">
        <v>498</v>
      </c>
      <c r="B12" s="321">
        <f>B13+B32</f>
        <v>388478</v>
      </c>
      <c r="C12" s="321">
        <f>C13+C32</f>
        <v>327057</v>
      </c>
      <c r="D12" s="322">
        <f t="shared" si="0"/>
        <v>84.19</v>
      </c>
      <c r="E12" s="354">
        <f>E13+E32</f>
        <v>34675</v>
      </c>
    </row>
    <row r="13" spans="1:5" s="333" customFormat="1" ht="11.25" customHeight="1">
      <c r="A13" s="355" t="s">
        <v>231</v>
      </c>
      <c r="B13" s="321">
        <v>352947</v>
      </c>
      <c r="C13" s="321">
        <v>277492</v>
      </c>
      <c r="D13" s="322">
        <f t="shared" si="0"/>
        <v>78.62</v>
      </c>
      <c r="E13" s="354">
        <v>27854</v>
      </c>
    </row>
    <row r="14" spans="1:5" s="333" customFormat="1" ht="11.25" customHeight="1">
      <c r="A14" s="373" t="s">
        <v>232</v>
      </c>
      <c r="B14" s="321">
        <v>289561</v>
      </c>
      <c r="C14" s="321">
        <v>227828</v>
      </c>
      <c r="D14" s="322">
        <f t="shared" si="0"/>
        <v>78.68</v>
      </c>
      <c r="E14" s="354">
        <v>22878</v>
      </c>
    </row>
    <row r="15" spans="1:5" s="333" customFormat="1" ht="11.25" customHeight="1" hidden="1">
      <c r="A15" s="358" t="s">
        <v>499</v>
      </c>
      <c r="B15" s="321">
        <v>5271</v>
      </c>
      <c r="C15" s="321">
        <v>3820</v>
      </c>
      <c r="D15" s="322">
        <f t="shared" si="0"/>
        <v>72.47</v>
      </c>
      <c r="E15" s="354">
        <v>307</v>
      </c>
    </row>
    <row r="16" spans="1:5" ht="12">
      <c r="A16" s="358" t="s">
        <v>500</v>
      </c>
      <c r="B16" s="321">
        <v>139510</v>
      </c>
      <c r="C16" s="321">
        <v>110753</v>
      </c>
      <c r="D16" s="322">
        <f t="shared" si="0"/>
        <v>79.39</v>
      </c>
      <c r="E16" s="354">
        <v>11069</v>
      </c>
    </row>
    <row r="17" spans="1:5" ht="12">
      <c r="A17" s="358" t="s">
        <v>501</v>
      </c>
      <c r="B17" s="321">
        <v>39349</v>
      </c>
      <c r="C17" s="321">
        <v>30687</v>
      </c>
      <c r="D17" s="322">
        <f t="shared" si="0"/>
        <v>77.99</v>
      </c>
      <c r="E17" s="354">
        <v>3130</v>
      </c>
    </row>
    <row r="18" spans="1:5" ht="12" hidden="1">
      <c r="A18" s="358" t="s">
        <v>502</v>
      </c>
      <c r="B18" s="321">
        <v>1255</v>
      </c>
      <c r="C18" s="321">
        <v>976</v>
      </c>
      <c r="D18" s="322">
        <f t="shared" si="0"/>
        <v>77.77</v>
      </c>
      <c r="E18" s="354">
        <v>100</v>
      </c>
    </row>
    <row r="19" spans="1:5" ht="12" hidden="1">
      <c r="A19" s="358" t="s">
        <v>503</v>
      </c>
      <c r="B19" s="321">
        <v>47169</v>
      </c>
      <c r="C19" s="321">
        <v>37894</v>
      </c>
      <c r="D19" s="322">
        <f t="shared" si="0"/>
        <v>80.34</v>
      </c>
      <c r="E19" s="354">
        <v>4154</v>
      </c>
    </row>
    <row r="20" spans="1:5" ht="12" hidden="1">
      <c r="A20" s="358" t="s">
        <v>504</v>
      </c>
      <c r="B20" s="321">
        <v>54811</v>
      </c>
      <c r="C20" s="321">
        <v>42307</v>
      </c>
      <c r="D20" s="322">
        <f t="shared" si="0"/>
        <v>77.19</v>
      </c>
      <c r="E20" s="354">
        <v>3950</v>
      </c>
    </row>
    <row r="21" spans="1:5" ht="12" hidden="1">
      <c r="A21" s="358" t="s">
        <v>505</v>
      </c>
      <c r="B21" s="321">
        <v>2196</v>
      </c>
      <c r="C21" s="321">
        <v>1391</v>
      </c>
      <c r="D21" s="322">
        <f t="shared" si="0"/>
        <v>63.34</v>
      </c>
      <c r="E21" s="354">
        <v>167</v>
      </c>
    </row>
    <row r="22" spans="1:5" ht="12">
      <c r="A22" s="358" t="s">
        <v>506</v>
      </c>
      <c r="B22" s="321">
        <f>SUM(B15,B18,B19,B20,B21)</f>
        <v>110702</v>
      </c>
      <c r="C22" s="321">
        <f>SUM(C15,C18,C19,C20,C21)</f>
        <v>86388</v>
      </c>
      <c r="D22" s="322">
        <f t="shared" si="0"/>
        <v>78.04</v>
      </c>
      <c r="E22" s="354">
        <v>8679</v>
      </c>
    </row>
    <row r="23" spans="1:5" ht="12">
      <c r="A23" s="374" t="s">
        <v>507</v>
      </c>
      <c r="B23" s="321">
        <f>SUM(B19,B20)</f>
        <v>101980</v>
      </c>
      <c r="C23" s="321">
        <f>SUM(C19,C20)</f>
        <v>80201</v>
      </c>
      <c r="D23" s="322">
        <f t="shared" si="0"/>
        <v>78.64</v>
      </c>
      <c r="E23" s="354">
        <v>8104</v>
      </c>
    </row>
    <row r="24" spans="1:5" ht="12">
      <c r="A24" s="374" t="s">
        <v>508</v>
      </c>
      <c r="B24" s="321">
        <f>SUM(B15,B18,B21)</f>
        <v>8722</v>
      </c>
      <c r="C24" s="321">
        <f>SUM(C15,C18,C21)</f>
        <v>6187</v>
      </c>
      <c r="D24" s="322">
        <f t="shared" si="0"/>
        <v>70.94</v>
      </c>
      <c r="E24" s="354">
        <v>575</v>
      </c>
    </row>
    <row r="25" spans="1:5" ht="12">
      <c r="A25" s="373" t="s">
        <v>509</v>
      </c>
      <c r="B25" s="321">
        <v>2442</v>
      </c>
      <c r="C25" s="321">
        <v>1711</v>
      </c>
      <c r="D25" s="322">
        <f t="shared" si="0"/>
        <v>70.07</v>
      </c>
      <c r="E25" s="354">
        <v>371</v>
      </c>
    </row>
    <row r="26" spans="1:5" ht="12">
      <c r="A26" s="373" t="s">
        <v>245</v>
      </c>
      <c r="B26" s="321">
        <v>60944</v>
      </c>
      <c r="C26" s="321">
        <v>47953</v>
      </c>
      <c r="D26" s="322">
        <f t="shared" si="0"/>
        <v>78.68</v>
      </c>
      <c r="E26" s="354">
        <v>4605</v>
      </c>
    </row>
    <row r="27" spans="1:5" ht="12">
      <c r="A27" s="358" t="s">
        <v>510</v>
      </c>
      <c r="B27" s="321">
        <v>643</v>
      </c>
      <c r="C27" s="321">
        <v>508</v>
      </c>
      <c r="D27" s="322">
        <f t="shared" si="0"/>
        <v>79</v>
      </c>
      <c r="E27" s="354">
        <v>57</v>
      </c>
    </row>
    <row r="28" spans="1:5" ht="12">
      <c r="A28" s="358" t="s">
        <v>511</v>
      </c>
      <c r="B28" s="321">
        <v>4372</v>
      </c>
      <c r="C28" s="321">
        <v>3558</v>
      </c>
      <c r="D28" s="322">
        <f t="shared" si="0"/>
        <v>81.38</v>
      </c>
      <c r="E28" s="354">
        <v>368</v>
      </c>
    </row>
    <row r="29" spans="1:5" ht="12">
      <c r="A29" s="358" t="s">
        <v>512</v>
      </c>
      <c r="B29" s="321">
        <v>24270</v>
      </c>
      <c r="C29" s="321">
        <v>19969</v>
      </c>
      <c r="D29" s="322">
        <f t="shared" si="0"/>
        <v>82.28</v>
      </c>
      <c r="E29" s="354">
        <v>2010</v>
      </c>
    </row>
    <row r="30" spans="1:5" ht="12">
      <c r="A30" s="358" t="s">
        <v>513</v>
      </c>
      <c r="B30" s="321">
        <v>16252</v>
      </c>
      <c r="C30" s="321">
        <v>12641</v>
      </c>
      <c r="D30" s="322">
        <f t="shared" si="0"/>
        <v>77.78</v>
      </c>
      <c r="E30" s="354">
        <v>1115</v>
      </c>
    </row>
    <row r="31" spans="1:5" ht="12">
      <c r="A31" s="358" t="s">
        <v>514</v>
      </c>
      <c r="B31" s="321">
        <v>15407</v>
      </c>
      <c r="C31" s="321">
        <v>11277</v>
      </c>
      <c r="D31" s="322">
        <f t="shared" si="0"/>
        <v>73.19</v>
      </c>
      <c r="E31" s="354">
        <v>1055</v>
      </c>
    </row>
    <row r="32" spans="1:5" s="333" customFormat="1" ht="11.25" customHeight="1">
      <c r="A32" s="355" t="s">
        <v>515</v>
      </c>
      <c r="B32" s="321">
        <v>35531</v>
      </c>
      <c r="C32" s="321">
        <v>49565</v>
      </c>
      <c r="D32" s="322">
        <f t="shared" si="0"/>
        <v>139.5</v>
      </c>
      <c r="E32" s="354">
        <v>6821</v>
      </c>
    </row>
    <row r="33" spans="1:6" s="333" customFormat="1" ht="11.25" customHeight="1">
      <c r="A33" s="358" t="s">
        <v>265</v>
      </c>
      <c r="B33" s="321">
        <v>19885</v>
      </c>
      <c r="C33" s="321">
        <v>15935</v>
      </c>
      <c r="D33" s="322">
        <f t="shared" si="0"/>
        <v>80.14</v>
      </c>
      <c r="E33" s="354">
        <v>1896</v>
      </c>
      <c r="F33" s="375"/>
    </row>
    <row r="34" spans="1:5" ht="12" hidden="1">
      <c r="A34" s="358" t="s">
        <v>265</v>
      </c>
      <c r="B34" s="321">
        <v>19478</v>
      </c>
      <c r="C34" s="321">
        <v>15649</v>
      </c>
      <c r="D34" s="322">
        <f t="shared" si="0"/>
        <v>80.34</v>
      </c>
      <c r="E34" s="354">
        <v>1877</v>
      </c>
    </row>
    <row r="35" spans="1:5" ht="12" hidden="1">
      <c r="A35" s="358" t="s">
        <v>516</v>
      </c>
      <c r="B35" s="321">
        <v>406</v>
      </c>
      <c r="C35" s="321">
        <v>286</v>
      </c>
      <c r="D35" s="322">
        <f t="shared" si="0"/>
        <v>70.44</v>
      </c>
      <c r="E35" s="354">
        <v>19</v>
      </c>
    </row>
    <row r="36" spans="1:5" ht="12">
      <c r="A36" s="358" t="s">
        <v>266</v>
      </c>
      <c r="B36" s="321">
        <v>15646</v>
      </c>
      <c r="C36" s="321">
        <v>33630</v>
      </c>
      <c r="D36" s="322">
        <f t="shared" si="0"/>
        <v>214.94</v>
      </c>
      <c r="E36" s="354">
        <v>4925</v>
      </c>
    </row>
    <row r="37" spans="1:5" s="333" customFormat="1" ht="11.25" customHeight="1">
      <c r="A37" s="355" t="s">
        <v>517</v>
      </c>
      <c r="B37" s="321">
        <v>-144</v>
      </c>
      <c r="C37" s="321">
        <v>810</v>
      </c>
      <c r="D37" s="322">
        <f t="shared" si="0"/>
        <v>-562.5</v>
      </c>
      <c r="E37" s="354">
        <v>-57</v>
      </c>
    </row>
    <row r="38" spans="1:5" ht="12.75" customHeight="1">
      <c r="A38" s="358" t="s">
        <v>518</v>
      </c>
      <c r="B38" s="321">
        <v>836</v>
      </c>
      <c r="C38" s="321">
        <v>1422</v>
      </c>
      <c r="D38" s="322">
        <f t="shared" si="0"/>
        <v>170.1</v>
      </c>
      <c r="E38" s="354">
        <v>112</v>
      </c>
    </row>
    <row r="39" spans="1:5" ht="12.75" customHeight="1">
      <c r="A39" s="359" t="s">
        <v>519</v>
      </c>
      <c r="B39" s="360">
        <v>980</v>
      </c>
      <c r="C39" s="360">
        <v>612</v>
      </c>
      <c r="D39" s="376">
        <f t="shared" si="0"/>
        <v>62.45</v>
      </c>
      <c r="E39" s="361">
        <v>169</v>
      </c>
    </row>
    <row r="40" spans="1:5" ht="12.75" customHeight="1">
      <c r="A40" s="377" t="s">
        <v>270</v>
      </c>
      <c r="B40" s="360">
        <f>B11-B12-B37</f>
        <v>-222</v>
      </c>
      <c r="C40" s="360">
        <f>C11-C12-C37</f>
        <v>-1238</v>
      </c>
      <c r="D40" s="378">
        <f t="shared" si="0"/>
        <v>557.66</v>
      </c>
      <c r="E40" s="361">
        <f>E11-E12-E37</f>
        <v>-1930</v>
      </c>
    </row>
    <row r="41" spans="1:5" s="340" customFormat="1" ht="12">
      <c r="A41" s="379"/>
      <c r="B41" s="366"/>
      <c r="C41" s="366"/>
      <c r="D41" s="366"/>
      <c r="E41" s="366"/>
    </row>
    <row r="42" spans="1:5" s="340" customFormat="1" ht="12">
      <c r="A42" s="336"/>
      <c r="B42" s="366"/>
      <c r="C42" s="366"/>
      <c r="D42" s="366"/>
      <c r="E42" s="366"/>
    </row>
    <row r="43" spans="1:6" ht="12">
      <c r="A43" s="366"/>
      <c r="B43" s="366"/>
      <c r="C43" s="366"/>
      <c r="D43" s="366"/>
      <c r="E43" s="366"/>
      <c r="F43" s="343"/>
    </row>
    <row r="44" spans="1:5" s="340" customFormat="1" ht="12">
      <c r="A44" s="337" t="s">
        <v>466</v>
      </c>
      <c r="B44" s="337"/>
      <c r="C44" s="338"/>
      <c r="D44" s="338"/>
      <c r="E44" s="368" t="s">
        <v>467</v>
      </c>
    </row>
    <row r="45" s="340" customFormat="1" ht="12"/>
    <row r="46" spans="1:4" s="340" customFormat="1" ht="12">
      <c r="A46" s="366"/>
      <c r="B46" s="369"/>
      <c r="C46" s="369"/>
      <c r="D46" s="369"/>
    </row>
    <row r="47" spans="1:2" s="340" customFormat="1" ht="12">
      <c r="A47" s="366"/>
      <c r="B47" s="369"/>
    </row>
    <row r="48" spans="1:4" ht="12">
      <c r="A48" s="370"/>
      <c r="B48" s="343"/>
      <c r="D48" s="369"/>
    </row>
    <row r="49" spans="4:6" ht="12">
      <c r="D49" s="343"/>
      <c r="E49" s="369"/>
      <c r="F49" s="343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15.11.99.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G36"/>
  <sheetViews>
    <sheetView showZeros="0" workbookViewId="0" topLeftCell="A7">
      <selection activeCell="E47" sqref="E47"/>
    </sheetView>
  </sheetViews>
  <sheetFormatPr defaultColWidth="9.140625" defaultRowHeight="12.75"/>
  <cols>
    <col min="1" max="1" width="42.7109375" style="305" customWidth="1"/>
    <col min="2" max="5" width="12.28125" style="305" customWidth="1"/>
    <col min="6" max="16384" width="8.00390625" style="305" customWidth="1"/>
  </cols>
  <sheetData>
    <row r="1" spans="1:5" s="313" customFormat="1" ht="12.75">
      <c r="A1" s="304" t="s">
        <v>494</v>
      </c>
      <c r="B1" s="304"/>
      <c r="C1" s="304"/>
      <c r="D1" s="304"/>
      <c r="E1" s="304" t="s">
        <v>520</v>
      </c>
    </row>
    <row r="2" spans="1:5" s="313" customFormat="1" ht="12.75">
      <c r="A2" s="304"/>
      <c r="B2" s="304"/>
      <c r="C2" s="304"/>
      <c r="D2" s="304"/>
      <c r="E2" s="304"/>
    </row>
    <row r="4" spans="1:5" s="310" customFormat="1" ht="15.75">
      <c r="A4" s="307" t="s">
        <v>521</v>
      </c>
      <c r="B4" s="309"/>
      <c r="C4" s="309"/>
      <c r="D4" s="309"/>
      <c r="E4" s="309"/>
    </row>
    <row r="5" spans="1:5" ht="15.75">
      <c r="A5" s="307" t="s">
        <v>471</v>
      </c>
      <c r="B5" s="312"/>
      <c r="C5" s="312"/>
      <c r="D5" s="312"/>
      <c r="E5" s="312"/>
    </row>
    <row r="6" spans="1:5" ht="11.25">
      <c r="A6" s="370"/>
      <c r="B6" s="312"/>
      <c r="C6" s="312"/>
      <c r="D6" s="312"/>
      <c r="E6" s="312"/>
    </row>
    <row r="7" spans="1:5" ht="11.25">
      <c r="A7" s="370"/>
      <c r="B7" s="312"/>
      <c r="C7" s="312"/>
      <c r="D7" s="312"/>
      <c r="E7" s="312"/>
    </row>
    <row r="8" spans="4:5" s="313" customFormat="1" ht="11.25">
      <c r="D8" s="315" t="s">
        <v>522</v>
      </c>
      <c r="E8" s="315"/>
    </row>
    <row r="9" spans="1:5" s="318" customFormat="1" ht="30.75" customHeight="1">
      <c r="A9" s="348" t="s">
        <v>2</v>
      </c>
      <c r="B9" s="349" t="s">
        <v>432</v>
      </c>
      <c r="C9" s="349" t="s">
        <v>50</v>
      </c>
      <c r="D9" s="349" t="s">
        <v>433</v>
      </c>
      <c r="E9" s="350" t="s">
        <v>143</v>
      </c>
    </row>
    <row r="10" spans="1:5" s="340" customFormat="1" ht="11.25" customHeight="1">
      <c r="A10" s="380">
        <v>1</v>
      </c>
      <c r="B10" s="381">
        <v>2</v>
      </c>
      <c r="C10" s="381">
        <v>3</v>
      </c>
      <c r="D10" s="382">
        <v>4</v>
      </c>
      <c r="E10" s="383" t="s">
        <v>476</v>
      </c>
    </row>
    <row r="11" spans="1:5" s="340" customFormat="1" ht="12.75">
      <c r="A11" s="384" t="s">
        <v>523</v>
      </c>
      <c r="B11" s="321">
        <v>42378</v>
      </c>
      <c r="C11" s="321">
        <v>36628</v>
      </c>
      <c r="D11" s="385">
        <f aca="true" t="shared" si="0" ref="D11:D24">C11/B11*100</f>
        <v>86.43</v>
      </c>
      <c r="E11" s="354">
        <v>3517</v>
      </c>
    </row>
    <row r="12" spans="1:5" ht="25.5">
      <c r="A12" s="384" t="s">
        <v>524</v>
      </c>
      <c r="B12" s="321">
        <v>37035</v>
      </c>
      <c r="C12" s="321">
        <v>31530</v>
      </c>
      <c r="D12" s="385">
        <f t="shared" si="0"/>
        <v>85.14</v>
      </c>
      <c r="E12" s="354">
        <v>3137</v>
      </c>
    </row>
    <row r="13" spans="1:5" ht="12">
      <c r="A13" s="386" t="s">
        <v>525</v>
      </c>
      <c r="B13" s="321">
        <v>4540</v>
      </c>
      <c r="C13" s="321">
        <v>5994</v>
      </c>
      <c r="D13" s="385">
        <f t="shared" si="0"/>
        <v>132.03</v>
      </c>
      <c r="E13" s="354">
        <v>953</v>
      </c>
    </row>
    <row r="14" spans="1:5" ht="12">
      <c r="A14" s="386" t="s">
        <v>526</v>
      </c>
      <c r="B14" s="321">
        <v>2568</v>
      </c>
      <c r="C14" s="321">
        <v>1780</v>
      </c>
      <c r="D14" s="385">
        <f t="shared" si="0"/>
        <v>69.31</v>
      </c>
      <c r="E14" s="354">
        <v>92</v>
      </c>
    </row>
    <row r="15" spans="1:5" ht="12">
      <c r="A15" s="386" t="s">
        <v>527</v>
      </c>
      <c r="B15" s="321">
        <v>16327</v>
      </c>
      <c r="C15" s="321">
        <v>10754</v>
      </c>
      <c r="D15" s="385">
        <f t="shared" si="0"/>
        <v>65.87</v>
      </c>
      <c r="E15" s="354">
        <v>954</v>
      </c>
    </row>
    <row r="16" spans="1:5" ht="12">
      <c r="A16" s="386" t="s">
        <v>528</v>
      </c>
      <c r="B16" s="321">
        <v>13600</v>
      </c>
      <c r="C16" s="321">
        <v>13002</v>
      </c>
      <c r="D16" s="385">
        <f t="shared" si="0"/>
        <v>95.6</v>
      </c>
      <c r="E16" s="354">
        <v>1138</v>
      </c>
    </row>
    <row r="17" spans="1:5" ht="25.5">
      <c r="A17" s="387" t="s">
        <v>529</v>
      </c>
      <c r="B17" s="321">
        <v>5343</v>
      </c>
      <c r="C17" s="321">
        <v>5098</v>
      </c>
      <c r="D17" s="385">
        <f t="shared" si="0"/>
        <v>95.41</v>
      </c>
      <c r="E17" s="354">
        <v>380</v>
      </c>
    </row>
    <row r="18" spans="1:7" s="340" customFormat="1" ht="12.75">
      <c r="A18" s="384" t="s">
        <v>530</v>
      </c>
      <c r="B18" s="321">
        <v>50586</v>
      </c>
      <c r="C18" s="321">
        <v>39957</v>
      </c>
      <c r="D18" s="385">
        <f t="shared" si="0"/>
        <v>78.99</v>
      </c>
      <c r="E18" s="354">
        <v>4657</v>
      </c>
      <c r="F18" s="305"/>
      <c r="G18" s="305"/>
    </row>
    <row r="19" spans="1:5" ht="25.5">
      <c r="A19" s="387" t="s">
        <v>531</v>
      </c>
      <c r="B19" s="321">
        <v>44642</v>
      </c>
      <c r="C19" s="321">
        <v>34891</v>
      </c>
      <c r="D19" s="385">
        <f t="shared" si="0"/>
        <v>78.16</v>
      </c>
      <c r="E19" s="354">
        <v>3992</v>
      </c>
    </row>
    <row r="20" spans="1:5" ht="12">
      <c r="A20" s="386" t="s">
        <v>525</v>
      </c>
      <c r="B20" s="321">
        <v>6841</v>
      </c>
      <c r="C20" s="321">
        <v>6069</v>
      </c>
      <c r="D20" s="385">
        <f t="shared" si="0"/>
        <v>88.72</v>
      </c>
      <c r="E20" s="354">
        <v>1574</v>
      </c>
    </row>
    <row r="21" spans="1:5" ht="12">
      <c r="A21" s="386" t="s">
        <v>526</v>
      </c>
      <c r="B21" s="321">
        <v>3118</v>
      </c>
      <c r="C21" s="321">
        <v>1944</v>
      </c>
      <c r="D21" s="385">
        <f t="shared" si="0"/>
        <v>62.35</v>
      </c>
      <c r="E21" s="354">
        <v>166</v>
      </c>
    </row>
    <row r="22" spans="1:5" ht="12">
      <c r="A22" s="386" t="s">
        <v>527</v>
      </c>
      <c r="B22" s="321">
        <v>19683</v>
      </c>
      <c r="C22" s="321">
        <v>13112</v>
      </c>
      <c r="D22" s="385">
        <f t="shared" si="0"/>
        <v>66.62</v>
      </c>
      <c r="E22" s="354">
        <v>1125</v>
      </c>
    </row>
    <row r="23" spans="1:5" ht="12">
      <c r="A23" s="386" t="s">
        <v>528</v>
      </c>
      <c r="B23" s="321">
        <v>15000</v>
      </c>
      <c r="C23" s="321">
        <v>13766</v>
      </c>
      <c r="D23" s="385">
        <f t="shared" si="0"/>
        <v>91.77</v>
      </c>
      <c r="E23" s="354">
        <v>1127</v>
      </c>
    </row>
    <row r="24" spans="1:5" ht="25.5">
      <c r="A24" s="388" t="s">
        <v>532</v>
      </c>
      <c r="B24" s="360">
        <v>5944</v>
      </c>
      <c r="C24" s="360">
        <v>5066</v>
      </c>
      <c r="D24" s="389">
        <f t="shared" si="0"/>
        <v>85.23</v>
      </c>
      <c r="E24" s="361">
        <v>665</v>
      </c>
    </row>
    <row r="25" ht="11.25">
      <c r="A25" s="313" t="s">
        <v>493</v>
      </c>
    </row>
    <row r="26" spans="1:5" s="390" customFormat="1" ht="11.25">
      <c r="A26" s="370"/>
      <c r="B26" s="305"/>
      <c r="C26" s="305"/>
      <c r="D26" s="305"/>
      <c r="E26" s="305"/>
    </row>
    <row r="27" spans="1:5" s="340" customFormat="1" ht="12">
      <c r="A27" s="370"/>
      <c r="B27" s="305"/>
      <c r="C27" s="305"/>
      <c r="D27" s="305"/>
      <c r="E27" s="305"/>
    </row>
    <row r="28" spans="1:5" s="340" customFormat="1" ht="12">
      <c r="A28" s="370"/>
      <c r="B28" s="390"/>
      <c r="C28" s="369"/>
      <c r="D28" s="390"/>
      <c r="E28" s="390"/>
    </row>
    <row r="29" spans="1:5" ht="12">
      <c r="A29" s="337"/>
      <c r="E29" s="368"/>
    </row>
    <row r="30" spans="1:5" ht="12">
      <c r="A30" s="337" t="s">
        <v>466</v>
      </c>
      <c r="B30" s="337"/>
      <c r="C30" s="338"/>
      <c r="D30" s="338"/>
      <c r="E30" s="368" t="s">
        <v>467</v>
      </c>
    </row>
    <row r="31" spans="1:5" ht="12">
      <c r="A31" s="337"/>
      <c r="B31" s="337"/>
      <c r="E31" s="368"/>
    </row>
    <row r="32" ht="11.25">
      <c r="A32" s="314"/>
    </row>
    <row r="33" ht="11.25">
      <c r="A33" s="314"/>
    </row>
    <row r="34" s="318" customFormat="1" ht="12" customHeight="1">
      <c r="A34" s="335"/>
    </row>
    <row r="35" s="318" customFormat="1" ht="12" customHeight="1">
      <c r="A35" s="335"/>
    </row>
    <row r="36" ht="12.75">
      <c r="A36" s="335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15.11.99.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4">
      <selection activeCell="E47" sqref="E47"/>
    </sheetView>
  </sheetViews>
  <sheetFormatPr defaultColWidth="9.140625" defaultRowHeight="12.75"/>
  <cols>
    <col min="1" max="1" width="39.7109375" style="305" customWidth="1"/>
    <col min="2" max="5" width="12.7109375" style="305" customWidth="1"/>
    <col min="6" max="16384" width="8.00390625" style="305" customWidth="1"/>
  </cols>
  <sheetData>
    <row r="1" spans="1:5" s="313" customFormat="1" ht="12.75">
      <c r="A1" s="304" t="s">
        <v>533</v>
      </c>
      <c r="B1" s="304"/>
      <c r="C1" s="304"/>
      <c r="D1" s="304"/>
      <c r="E1" s="304" t="s">
        <v>534</v>
      </c>
    </row>
    <row r="2" spans="1:5" s="313" customFormat="1" ht="12.75">
      <c r="A2" s="304"/>
      <c r="B2" s="304"/>
      <c r="C2" s="304"/>
      <c r="D2" s="304"/>
      <c r="E2" s="391"/>
    </row>
    <row r="3" spans="4:5" ht="11.25">
      <c r="D3" s="312"/>
      <c r="E3" s="312"/>
    </row>
    <row r="4" spans="1:5" s="310" customFormat="1" ht="15.75">
      <c r="A4" s="307" t="s">
        <v>535</v>
      </c>
      <c r="B4" s="312"/>
      <c r="C4" s="312"/>
      <c r="D4" s="312"/>
      <c r="E4" s="312"/>
    </row>
    <row r="5" spans="1:5" ht="15.75">
      <c r="A5" s="307" t="s">
        <v>471</v>
      </c>
      <c r="B5" s="312"/>
      <c r="C5" s="312"/>
      <c r="D5" s="312"/>
      <c r="E5" s="312"/>
    </row>
    <row r="6" spans="1:5" ht="11.25">
      <c r="A6" s="370"/>
      <c r="B6" s="312"/>
      <c r="C6" s="312"/>
      <c r="D6" s="312"/>
      <c r="E6" s="312"/>
    </row>
    <row r="7" spans="1:5" ht="11.25">
      <c r="A7" s="370"/>
      <c r="B7" s="312"/>
      <c r="C7" s="312"/>
      <c r="D7" s="312"/>
      <c r="E7" s="312"/>
    </row>
    <row r="8" spans="2:81" s="313" customFormat="1" ht="15">
      <c r="B8" s="315"/>
      <c r="C8" s="315"/>
      <c r="D8" s="392" t="s">
        <v>536</v>
      </c>
      <c r="E8" s="393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</row>
    <row r="9" spans="1:254" s="318" customFormat="1" ht="33.75" customHeight="1">
      <c r="A9" s="348" t="s">
        <v>2</v>
      </c>
      <c r="B9" s="349" t="s">
        <v>432</v>
      </c>
      <c r="C9" s="349" t="s">
        <v>50</v>
      </c>
      <c r="D9" s="349" t="s">
        <v>433</v>
      </c>
      <c r="E9" s="350" t="s">
        <v>143</v>
      </c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49"/>
      <c r="CE9" s="350"/>
      <c r="CF9" s="348"/>
      <c r="CG9" s="349"/>
      <c r="CH9" s="349"/>
      <c r="CI9" s="349"/>
      <c r="CJ9" s="350"/>
      <c r="CK9" s="348"/>
      <c r="CL9" s="349"/>
      <c r="CM9" s="349"/>
      <c r="CN9" s="349"/>
      <c r="CO9" s="350"/>
      <c r="CP9" s="348"/>
      <c r="CQ9" s="349"/>
      <c r="CR9" s="349"/>
      <c r="CS9" s="349"/>
      <c r="CT9" s="350"/>
      <c r="CU9" s="348"/>
      <c r="CV9" s="349"/>
      <c r="CW9" s="349"/>
      <c r="CX9" s="349"/>
      <c r="CY9" s="350"/>
      <c r="CZ9" s="348"/>
      <c r="DA9" s="349"/>
      <c r="DB9" s="349"/>
      <c r="DC9" s="349"/>
      <c r="DD9" s="350"/>
      <c r="DE9" s="348"/>
      <c r="DF9" s="349"/>
      <c r="DG9" s="349"/>
      <c r="DH9" s="349"/>
      <c r="DI9" s="350"/>
      <c r="DJ9" s="348"/>
      <c r="DK9" s="349"/>
      <c r="DL9" s="349"/>
      <c r="DM9" s="349"/>
      <c r="DN9" s="350"/>
      <c r="DO9" s="348"/>
      <c r="DP9" s="349"/>
      <c r="DQ9" s="349"/>
      <c r="DR9" s="349"/>
      <c r="DS9" s="350"/>
      <c r="DT9" s="348"/>
      <c r="DU9" s="349"/>
      <c r="DV9" s="349"/>
      <c r="DW9" s="349"/>
      <c r="DX9" s="350"/>
      <c r="DY9" s="348"/>
      <c r="DZ9" s="349"/>
      <c r="EA9" s="349"/>
      <c r="EB9" s="349"/>
      <c r="EC9" s="350"/>
      <c r="ED9" s="348"/>
      <c r="EE9" s="349"/>
      <c r="EF9" s="349"/>
      <c r="EG9" s="349"/>
      <c r="EH9" s="350"/>
      <c r="EI9" s="348"/>
      <c r="EJ9" s="349"/>
      <c r="EK9" s="349"/>
      <c r="EL9" s="349"/>
      <c r="EM9" s="350"/>
      <c r="EN9" s="348"/>
      <c r="EO9" s="349"/>
      <c r="EP9" s="349"/>
      <c r="EQ9" s="349"/>
      <c r="ER9" s="350"/>
      <c r="ES9" s="348"/>
      <c r="ET9" s="349"/>
      <c r="EU9" s="349"/>
      <c r="EV9" s="349"/>
      <c r="EW9" s="350"/>
      <c r="EX9" s="348"/>
      <c r="EY9" s="349"/>
      <c r="EZ9" s="349"/>
      <c r="FA9" s="349"/>
      <c r="FB9" s="350"/>
      <c r="FC9" s="348"/>
      <c r="FD9" s="349"/>
      <c r="FE9" s="349"/>
      <c r="FF9" s="349"/>
      <c r="FG9" s="350"/>
      <c r="FH9" s="348"/>
      <c r="FI9" s="349"/>
      <c r="FJ9" s="349"/>
      <c r="FK9" s="349"/>
      <c r="FL9" s="350"/>
      <c r="FM9" s="348"/>
      <c r="FN9" s="349"/>
      <c r="FO9" s="349"/>
      <c r="FP9" s="349"/>
      <c r="FQ9" s="350"/>
      <c r="FR9" s="348"/>
      <c r="FS9" s="349"/>
      <c r="FT9" s="349"/>
      <c r="FU9" s="349"/>
      <c r="FV9" s="350"/>
      <c r="FW9" s="348"/>
      <c r="FX9" s="349"/>
      <c r="FY9" s="349"/>
      <c r="FZ9" s="349"/>
      <c r="GA9" s="350"/>
      <c r="GB9" s="348"/>
      <c r="GC9" s="349"/>
      <c r="GD9" s="349"/>
      <c r="GE9" s="349"/>
      <c r="GF9" s="350"/>
      <c r="GG9" s="348"/>
      <c r="GH9" s="349"/>
      <c r="GI9" s="349"/>
      <c r="GJ9" s="349"/>
      <c r="GK9" s="350"/>
      <c r="GL9" s="348"/>
      <c r="GM9" s="349"/>
      <c r="GN9" s="349"/>
      <c r="GO9" s="349"/>
      <c r="GP9" s="350"/>
      <c r="GQ9" s="348"/>
      <c r="GR9" s="349"/>
      <c r="GS9" s="349"/>
      <c r="GT9" s="349"/>
      <c r="GU9" s="350"/>
      <c r="GV9" s="348"/>
      <c r="GW9" s="349"/>
      <c r="GX9" s="349"/>
      <c r="GY9" s="349"/>
      <c r="GZ9" s="350"/>
      <c r="HA9" s="348"/>
      <c r="HB9" s="349"/>
      <c r="HC9" s="349"/>
      <c r="HD9" s="349"/>
      <c r="HE9" s="350"/>
      <c r="HF9" s="348"/>
      <c r="HG9" s="349"/>
      <c r="HH9" s="349"/>
      <c r="HI9" s="349"/>
      <c r="HJ9" s="350"/>
      <c r="HK9" s="348"/>
      <c r="HL9" s="349"/>
      <c r="HM9" s="349"/>
      <c r="HN9" s="349"/>
      <c r="HO9" s="350"/>
      <c r="HP9" s="348"/>
      <c r="HQ9" s="349"/>
      <c r="HR9" s="349"/>
      <c r="HS9" s="349"/>
      <c r="HT9" s="350"/>
      <c r="HU9" s="348"/>
      <c r="HV9" s="349"/>
      <c r="HW9" s="349"/>
      <c r="HX9" s="349"/>
      <c r="HY9" s="350"/>
      <c r="HZ9" s="348"/>
      <c r="IA9" s="349"/>
      <c r="IB9" s="349"/>
      <c r="IC9" s="349"/>
      <c r="ID9" s="350"/>
      <c r="IE9" s="348"/>
      <c r="IF9" s="349"/>
      <c r="IG9" s="349"/>
      <c r="IH9" s="349"/>
      <c r="II9" s="350"/>
      <c r="IJ9" s="348"/>
      <c r="IK9" s="349"/>
      <c r="IL9" s="349"/>
      <c r="IM9" s="349"/>
      <c r="IN9" s="350"/>
      <c r="IO9" s="348"/>
      <c r="IP9" s="349"/>
      <c r="IQ9" s="349"/>
      <c r="IR9" s="349"/>
      <c r="IS9" s="350"/>
      <c r="IT9" s="348"/>
    </row>
    <row r="10" spans="1:5" ht="11.25">
      <c r="A10" s="380">
        <v>1</v>
      </c>
      <c r="B10" s="381">
        <v>2</v>
      </c>
      <c r="C10" s="381">
        <v>3</v>
      </c>
      <c r="D10" s="382">
        <v>4</v>
      </c>
      <c r="E10" s="383">
        <v>5</v>
      </c>
    </row>
    <row r="11" spans="1:5" s="318" customFormat="1" ht="12.75" customHeight="1">
      <c r="A11" s="353" t="s">
        <v>226</v>
      </c>
      <c r="B11" s="321">
        <v>42378</v>
      </c>
      <c r="C11" s="321">
        <v>36628</v>
      </c>
      <c r="D11" s="385">
        <f aca="true" t="shared" si="0" ref="D11:D40">C11/B11*100</f>
        <v>86.43</v>
      </c>
      <c r="E11" s="354">
        <v>3517</v>
      </c>
    </row>
    <row r="12" spans="1:5" s="318" customFormat="1" ht="12.75">
      <c r="A12" s="353" t="s">
        <v>498</v>
      </c>
      <c r="B12" s="321">
        <f>B13+B32</f>
        <v>54330</v>
      </c>
      <c r="C12" s="321">
        <f>C13+C32</f>
        <v>37696</v>
      </c>
      <c r="D12" s="385">
        <f t="shared" si="0"/>
        <v>69.38</v>
      </c>
      <c r="E12" s="354">
        <f>E13+E32</f>
        <v>3704</v>
      </c>
    </row>
    <row r="13" spans="1:5" s="333" customFormat="1" ht="11.25" customHeight="1">
      <c r="A13" s="355" t="s">
        <v>231</v>
      </c>
      <c r="B13" s="321">
        <v>39319</v>
      </c>
      <c r="C13" s="321">
        <v>27360</v>
      </c>
      <c r="D13" s="385">
        <f t="shared" si="0"/>
        <v>69.58</v>
      </c>
      <c r="E13" s="354">
        <v>2801</v>
      </c>
    </row>
    <row r="14" spans="1:5" s="333" customFormat="1" ht="11.25" customHeight="1">
      <c r="A14" s="373" t="s">
        <v>232</v>
      </c>
      <c r="B14" s="321">
        <v>31635</v>
      </c>
      <c r="C14" s="321">
        <v>20523</v>
      </c>
      <c r="D14" s="385">
        <f t="shared" si="0"/>
        <v>64.87</v>
      </c>
      <c r="E14" s="354">
        <v>1736</v>
      </c>
    </row>
    <row r="15" spans="1:5" s="333" customFormat="1" ht="11.25" customHeight="1" hidden="1">
      <c r="A15" s="358" t="s">
        <v>499</v>
      </c>
      <c r="B15" s="321">
        <v>2028</v>
      </c>
      <c r="C15" s="321">
        <v>16</v>
      </c>
      <c r="D15" s="385">
        <f t="shared" si="0"/>
        <v>0.79</v>
      </c>
      <c r="E15" s="354">
        <v>-8</v>
      </c>
    </row>
    <row r="16" spans="1:5" ht="12">
      <c r="A16" s="358" t="s">
        <v>500</v>
      </c>
      <c r="B16" s="321">
        <v>2852</v>
      </c>
      <c r="C16" s="321">
        <v>2102</v>
      </c>
      <c r="D16" s="385">
        <f t="shared" si="0"/>
        <v>73.7</v>
      </c>
      <c r="E16" s="354">
        <v>159</v>
      </c>
    </row>
    <row r="17" spans="1:5" ht="12">
      <c r="A17" s="358" t="s">
        <v>501</v>
      </c>
      <c r="B17" s="321">
        <v>782</v>
      </c>
      <c r="C17" s="321">
        <v>533</v>
      </c>
      <c r="D17" s="385">
        <f t="shared" si="0"/>
        <v>68.16</v>
      </c>
      <c r="E17" s="354">
        <v>46</v>
      </c>
    </row>
    <row r="18" spans="1:5" ht="12" hidden="1">
      <c r="A18" s="358" t="s">
        <v>502</v>
      </c>
      <c r="B18" s="321">
        <v>232</v>
      </c>
      <c r="C18" s="321">
        <v>173</v>
      </c>
      <c r="D18" s="385">
        <f t="shared" si="0"/>
        <v>74.57</v>
      </c>
      <c r="E18" s="354">
        <v>29</v>
      </c>
    </row>
    <row r="19" spans="1:5" ht="12" hidden="1">
      <c r="A19" s="358" t="s">
        <v>503</v>
      </c>
      <c r="B19" s="321">
        <v>22408</v>
      </c>
      <c r="C19" s="321">
        <v>15425</v>
      </c>
      <c r="D19" s="385">
        <f t="shared" si="0"/>
        <v>68.84</v>
      </c>
      <c r="E19" s="354">
        <v>1132</v>
      </c>
    </row>
    <row r="20" spans="1:5" ht="12" hidden="1">
      <c r="A20" s="358" t="s">
        <v>504</v>
      </c>
      <c r="B20" s="321">
        <v>3292</v>
      </c>
      <c r="C20" s="321">
        <v>2220</v>
      </c>
      <c r="D20" s="385">
        <f t="shared" si="0"/>
        <v>67.44</v>
      </c>
      <c r="E20" s="354">
        <v>373</v>
      </c>
    </row>
    <row r="21" spans="1:5" ht="12" hidden="1">
      <c r="A21" s="358" t="s">
        <v>505</v>
      </c>
      <c r="B21" s="321">
        <v>41</v>
      </c>
      <c r="C21" s="321">
        <v>56</v>
      </c>
      <c r="D21" s="385">
        <f t="shared" si="0"/>
        <v>136.59</v>
      </c>
      <c r="E21" s="354">
        <v>5</v>
      </c>
    </row>
    <row r="22" spans="1:5" ht="12">
      <c r="A22" s="358" t="s">
        <v>506</v>
      </c>
      <c r="B22" s="321">
        <f>SUM(B15,B18,B19,B20,B21)</f>
        <v>28001</v>
      </c>
      <c r="C22" s="321">
        <v>17888</v>
      </c>
      <c r="D22" s="385">
        <f t="shared" si="0"/>
        <v>63.88</v>
      </c>
      <c r="E22" s="354">
        <v>1531</v>
      </c>
    </row>
    <row r="23" spans="1:5" ht="12">
      <c r="A23" s="374" t="s">
        <v>507</v>
      </c>
      <c r="B23" s="321">
        <f>SUM(B19,B20)</f>
        <v>25700</v>
      </c>
      <c r="C23" s="321">
        <v>17643</v>
      </c>
      <c r="D23" s="385">
        <f t="shared" si="0"/>
        <v>68.65</v>
      </c>
      <c r="E23" s="354">
        <v>1504</v>
      </c>
    </row>
    <row r="24" spans="1:5" ht="12">
      <c r="A24" s="374" t="s">
        <v>537</v>
      </c>
      <c r="B24" s="321">
        <f>SUM(B15,B18,B21)</f>
        <v>2301</v>
      </c>
      <c r="C24" s="321">
        <v>245</v>
      </c>
      <c r="D24" s="385">
        <f t="shared" si="0"/>
        <v>10.65</v>
      </c>
      <c r="E24" s="354">
        <v>27</v>
      </c>
    </row>
    <row r="25" spans="1:5" ht="12">
      <c r="A25" s="373" t="s">
        <v>509</v>
      </c>
      <c r="B25" s="321">
        <v>39</v>
      </c>
      <c r="C25" s="321">
        <v>30</v>
      </c>
      <c r="D25" s="385">
        <f t="shared" si="0"/>
        <v>76.92</v>
      </c>
      <c r="E25" s="354">
        <v>3</v>
      </c>
    </row>
    <row r="26" spans="1:5" ht="12">
      <c r="A26" s="373" t="s">
        <v>245</v>
      </c>
      <c r="B26" s="321">
        <v>7645</v>
      </c>
      <c r="C26" s="321">
        <v>6807</v>
      </c>
      <c r="D26" s="385">
        <f t="shared" si="0"/>
        <v>89.04</v>
      </c>
      <c r="E26" s="354">
        <v>1062</v>
      </c>
    </row>
    <row r="27" spans="1:5" ht="12">
      <c r="A27" s="358" t="s">
        <v>510</v>
      </c>
      <c r="B27" s="321">
        <v>127</v>
      </c>
      <c r="C27" s="321">
        <v>130</v>
      </c>
      <c r="D27" s="385">
        <f t="shared" si="0"/>
        <v>102.36</v>
      </c>
      <c r="E27" s="354">
        <v>127</v>
      </c>
    </row>
    <row r="28" spans="1:5" ht="12">
      <c r="A28" s="358" t="s">
        <v>511</v>
      </c>
      <c r="B28" s="321">
        <v>70</v>
      </c>
      <c r="C28" s="321">
        <v>61</v>
      </c>
      <c r="D28" s="385">
        <f t="shared" si="0"/>
        <v>87.14</v>
      </c>
      <c r="E28" s="354">
        <v>21</v>
      </c>
    </row>
    <row r="29" spans="1:5" ht="12">
      <c r="A29" s="358" t="s">
        <v>512</v>
      </c>
      <c r="B29" s="321">
        <v>365</v>
      </c>
      <c r="C29" s="321">
        <v>411</v>
      </c>
      <c r="D29" s="385">
        <f t="shared" si="0"/>
        <v>112.6</v>
      </c>
      <c r="E29" s="354">
        <v>251</v>
      </c>
    </row>
    <row r="30" spans="1:5" ht="12">
      <c r="A30" s="358" t="s">
        <v>513</v>
      </c>
      <c r="B30" s="321">
        <v>4784</v>
      </c>
      <c r="C30" s="321">
        <v>4208</v>
      </c>
      <c r="D30" s="385">
        <f t="shared" si="0"/>
        <v>87.96</v>
      </c>
      <c r="E30" s="354">
        <v>289</v>
      </c>
    </row>
    <row r="31" spans="1:5" ht="12">
      <c r="A31" s="358" t="s">
        <v>514</v>
      </c>
      <c r="B31" s="321">
        <v>2300</v>
      </c>
      <c r="C31" s="321">
        <v>1997</v>
      </c>
      <c r="D31" s="385">
        <f t="shared" si="0"/>
        <v>86.83</v>
      </c>
      <c r="E31" s="354">
        <v>374</v>
      </c>
    </row>
    <row r="32" spans="1:7" s="333" customFormat="1" ht="11.25" customHeight="1">
      <c r="A32" s="355" t="s">
        <v>515</v>
      </c>
      <c r="B32" s="321">
        <v>15011</v>
      </c>
      <c r="C32" s="321">
        <v>10336</v>
      </c>
      <c r="D32" s="385">
        <f t="shared" si="0"/>
        <v>68.86</v>
      </c>
      <c r="E32" s="354">
        <v>903</v>
      </c>
      <c r="G32" s="305"/>
    </row>
    <row r="33" spans="1:7" s="333" customFormat="1" ht="11.25" customHeight="1">
      <c r="A33" s="358" t="s">
        <v>265</v>
      </c>
      <c r="B33" s="321">
        <v>12217</v>
      </c>
      <c r="C33" s="321">
        <v>8702</v>
      </c>
      <c r="D33" s="385">
        <f t="shared" si="0"/>
        <v>71.23</v>
      </c>
      <c r="E33" s="354">
        <v>857</v>
      </c>
      <c r="F33" s="305"/>
      <c r="G33" s="305"/>
    </row>
    <row r="34" spans="1:5" ht="12" hidden="1">
      <c r="A34" s="358" t="s">
        <v>265</v>
      </c>
      <c r="B34" s="321">
        <v>388334</v>
      </c>
      <c r="C34" s="321">
        <v>327867</v>
      </c>
      <c r="D34" s="385">
        <f t="shared" si="0"/>
        <v>84.43</v>
      </c>
      <c r="E34" s="354">
        <v>34618</v>
      </c>
    </row>
    <row r="35" spans="1:5" ht="12" hidden="1">
      <c r="A35" s="358" t="s">
        <v>516</v>
      </c>
      <c r="B35" s="321">
        <v>357583</v>
      </c>
      <c r="C35" s="321">
        <v>303208</v>
      </c>
      <c r="D35" s="385">
        <f t="shared" si="0"/>
        <v>84.79</v>
      </c>
      <c r="E35" s="354">
        <v>31941</v>
      </c>
    </row>
    <row r="36" spans="1:5" ht="12">
      <c r="A36" s="358" t="s">
        <v>266</v>
      </c>
      <c r="B36" s="321">
        <v>46352</v>
      </c>
      <c r="C36" s="321">
        <v>1634</v>
      </c>
      <c r="D36" s="385">
        <f t="shared" si="0"/>
        <v>3.53</v>
      </c>
      <c r="E36" s="354">
        <v>46</v>
      </c>
    </row>
    <row r="37" spans="1:7" s="333" customFormat="1" ht="11.25" customHeight="1">
      <c r="A37" s="355" t="s">
        <v>517</v>
      </c>
      <c r="B37" s="321">
        <v>-3744</v>
      </c>
      <c r="C37" s="321">
        <v>2261</v>
      </c>
      <c r="D37" s="385">
        <f t="shared" si="0"/>
        <v>-60.39</v>
      </c>
      <c r="E37" s="354">
        <v>953</v>
      </c>
      <c r="G37" s="305"/>
    </row>
    <row r="38" spans="1:5" ht="12.75" customHeight="1">
      <c r="A38" s="358" t="s">
        <v>518</v>
      </c>
      <c r="B38" s="321">
        <v>3329</v>
      </c>
      <c r="C38" s="321">
        <v>5370</v>
      </c>
      <c r="D38" s="385">
        <f t="shared" si="0"/>
        <v>161.31</v>
      </c>
      <c r="E38" s="354">
        <v>1110</v>
      </c>
    </row>
    <row r="39" spans="1:5" ht="12.75" customHeight="1">
      <c r="A39" s="359" t="s">
        <v>519</v>
      </c>
      <c r="B39" s="360">
        <v>7073</v>
      </c>
      <c r="C39" s="360">
        <v>3109</v>
      </c>
      <c r="D39" s="389">
        <f t="shared" si="0"/>
        <v>43.96</v>
      </c>
      <c r="E39" s="361">
        <v>157</v>
      </c>
    </row>
    <row r="40" spans="1:5" ht="12.75" customHeight="1">
      <c r="A40" s="377" t="s">
        <v>270</v>
      </c>
      <c r="B40" s="360">
        <f>B11-B12-B37</f>
        <v>-8208</v>
      </c>
      <c r="C40" s="360">
        <f>C11-C12-C37</f>
        <v>-3329</v>
      </c>
      <c r="D40" s="394">
        <f t="shared" si="0"/>
        <v>40.56</v>
      </c>
      <c r="E40" s="361">
        <f>E11-E12-E37</f>
        <v>-1140</v>
      </c>
    </row>
    <row r="41" spans="1:4" ht="12">
      <c r="A41" s="341"/>
      <c r="B41" s="365"/>
      <c r="C41" s="365"/>
      <c r="D41" s="395"/>
    </row>
    <row r="42" ht="11.25">
      <c r="A42" s="370"/>
    </row>
    <row r="43" spans="1:7" s="340" customFormat="1" ht="12">
      <c r="A43" s="370"/>
      <c r="B43" s="305"/>
      <c r="C43" s="305"/>
      <c r="D43" s="305"/>
      <c r="E43" s="305"/>
      <c r="F43" s="305"/>
      <c r="G43" s="305"/>
    </row>
    <row r="44" spans="1:7" s="340" customFormat="1" ht="12">
      <c r="A44" s="341"/>
      <c r="B44" s="305"/>
      <c r="C44" s="305"/>
      <c r="D44" s="305"/>
      <c r="E44" s="305"/>
      <c r="F44" s="305"/>
      <c r="G44" s="305"/>
    </row>
    <row r="45" spans="1:254" s="318" customFormat="1" ht="12.75">
      <c r="A45" s="337" t="s">
        <v>466</v>
      </c>
      <c r="B45" s="337"/>
      <c r="C45" s="338"/>
      <c r="D45" s="396"/>
      <c r="E45" s="368" t="s">
        <v>467</v>
      </c>
      <c r="F45" s="305"/>
      <c r="G45" s="305"/>
      <c r="H45" s="369"/>
      <c r="I45" s="397"/>
      <c r="J45" s="397"/>
      <c r="K45" s="398"/>
      <c r="L45" s="305"/>
      <c r="M45" s="337"/>
      <c r="N45" s="337"/>
      <c r="O45" s="340"/>
      <c r="P45" s="340"/>
      <c r="Q45" s="340"/>
      <c r="R45" s="340"/>
      <c r="S45" s="305"/>
      <c r="T45" s="337"/>
      <c r="U45" s="337"/>
      <c r="V45" s="369"/>
      <c r="W45" s="367"/>
      <c r="X45" s="367"/>
      <c r="Y45" s="398"/>
      <c r="Z45" s="305"/>
      <c r="AA45" s="337"/>
      <c r="AB45" s="337"/>
      <c r="AC45" s="369"/>
      <c r="AD45" s="367"/>
      <c r="AE45" s="367"/>
      <c r="AF45" s="398"/>
      <c r="AG45" s="305"/>
      <c r="AH45" s="337"/>
      <c r="AI45" s="337"/>
      <c r="AJ45" s="369"/>
      <c r="AK45" s="367"/>
      <c r="AL45" s="367"/>
      <c r="AM45" s="398"/>
      <c r="AN45" s="305"/>
      <c r="AO45" s="337"/>
      <c r="AP45" s="337"/>
      <c r="AQ45" s="369"/>
      <c r="AR45" s="367"/>
      <c r="AS45" s="367"/>
      <c r="AT45" s="398"/>
      <c r="AU45" s="305"/>
      <c r="AV45" s="337"/>
      <c r="AW45" s="337"/>
      <c r="AX45" s="369"/>
      <c r="AY45" s="367"/>
      <c r="AZ45" s="367"/>
      <c r="BA45" s="398"/>
      <c r="BB45" s="305"/>
      <c r="BC45" s="337"/>
      <c r="BD45" s="337"/>
      <c r="BE45" s="369"/>
      <c r="BF45" s="367"/>
      <c r="BG45" s="367"/>
      <c r="BH45" s="398"/>
      <c r="BI45" s="305"/>
      <c r="BJ45" s="337"/>
      <c r="BK45" s="337"/>
      <c r="BL45" s="369"/>
      <c r="BM45" s="367"/>
      <c r="BN45" s="367"/>
      <c r="BO45" s="398"/>
      <c r="BP45" s="305"/>
      <c r="BQ45" s="337"/>
      <c r="BR45" s="337"/>
      <c r="BS45" s="369"/>
      <c r="BT45" s="367"/>
      <c r="BU45" s="367"/>
      <c r="BV45" s="398"/>
      <c r="BW45" s="305"/>
      <c r="BX45" s="337"/>
      <c r="BY45" s="337"/>
      <c r="BZ45" s="369"/>
      <c r="CA45" s="367"/>
      <c r="CB45" s="367"/>
      <c r="CC45" s="398"/>
      <c r="CD45" s="305"/>
      <c r="CE45" s="337"/>
      <c r="CF45" s="337"/>
      <c r="CG45" s="369"/>
      <c r="CH45" s="367"/>
      <c r="CI45" s="367"/>
      <c r="CJ45" s="398"/>
      <c r="CK45" s="305"/>
      <c r="CL45" s="337"/>
      <c r="CM45" s="337"/>
      <c r="CN45" s="369"/>
      <c r="CO45" s="367"/>
      <c r="CP45" s="367"/>
      <c r="CQ45" s="398"/>
      <c r="CR45" s="305"/>
      <c r="CS45" s="337"/>
      <c r="CT45" s="337"/>
      <c r="CU45" s="369"/>
      <c r="CV45" s="367"/>
      <c r="CW45" s="367"/>
      <c r="CX45" s="398"/>
      <c r="CY45" s="305"/>
      <c r="CZ45" s="337"/>
      <c r="DA45" s="337"/>
      <c r="DB45" s="369"/>
      <c r="DC45" s="367"/>
      <c r="DD45" s="367"/>
      <c r="DE45" s="398"/>
      <c r="DF45" s="305"/>
      <c r="DG45" s="337"/>
      <c r="DH45" s="337"/>
      <c r="DI45" s="369"/>
      <c r="DJ45" s="367"/>
      <c r="DK45" s="367"/>
      <c r="DL45" s="398"/>
      <c r="DM45" s="305"/>
      <c r="DN45" s="337"/>
      <c r="DO45" s="337"/>
      <c r="DP45" s="369"/>
      <c r="DQ45" s="367"/>
      <c r="DR45" s="367"/>
      <c r="DS45" s="398"/>
      <c r="DT45" s="305"/>
      <c r="DU45" s="337"/>
      <c r="DV45" s="337"/>
      <c r="DW45" s="369"/>
      <c r="DX45" s="367"/>
      <c r="DY45" s="367"/>
      <c r="DZ45" s="398"/>
      <c r="EA45" s="305"/>
      <c r="EB45" s="337"/>
      <c r="EC45" s="337"/>
      <c r="ED45" s="369"/>
      <c r="EE45" s="367"/>
      <c r="EF45" s="367"/>
      <c r="EG45" s="398"/>
      <c r="EH45" s="305"/>
      <c r="EI45" s="337"/>
      <c r="EJ45" s="337"/>
      <c r="EK45" s="369"/>
      <c r="EL45" s="367"/>
      <c r="EM45" s="367"/>
      <c r="EN45" s="398"/>
      <c r="EO45" s="305"/>
      <c r="EP45" s="337"/>
      <c r="EQ45" s="337"/>
      <c r="ER45" s="369"/>
      <c r="ES45" s="367"/>
      <c r="ET45" s="367"/>
      <c r="EU45" s="398"/>
      <c r="EV45" s="305"/>
      <c r="EW45" s="337"/>
      <c r="EX45" s="337"/>
      <c r="EY45" s="369"/>
      <c r="EZ45" s="367"/>
      <c r="FA45" s="367"/>
      <c r="FB45" s="398"/>
      <c r="FC45" s="305"/>
      <c r="FD45" s="337"/>
      <c r="FE45" s="337"/>
      <c r="FF45" s="369"/>
      <c r="FG45" s="367"/>
      <c r="FH45" s="367"/>
      <c r="FI45" s="398"/>
      <c r="FJ45" s="305"/>
      <c r="FK45" s="337"/>
      <c r="FL45" s="337"/>
      <c r="FM45" s="369"/>
      <c r="FN45" s="367"/>
      <c r="FO45" s="367"/>
      <c r="FP45" s="398"/>
      <c r="FQ45" s="305"/>
      <c r="FR45" s="337"/>
      <c r="FS45" s="337"/>
      <c r="FT45" s="369"/>
      <c r="FU45" s="367"/>
      <c r="FV45" s="367"/>
      <c r="FW45" s="398"/>
      <c r="FX45" s="305"/>
      <c r="FY45" s="337"/>
      <c r="FZ45" s="337"/>
      <c r="GA45" s="369"/>
      <c r="GB45" s="367"/>
      <c r="GC45" s="367"/>
      <c r="GD45" s="398"/>
      <c r="GE45" s="305"/>
      <c r="GF45" s="337"/>
      <c r="GG45" s="337"/>
      <c r="GH45" s="369"/>
      <c r="GI45" s="367"/>
      <c r="GJ45" s="367"/>
      <c r="GK45" s="398"/>
      <c r="GL45" s="305"/>
      <c r="GM45" s="337"/>
      <c r="GN45" s="337"/>
      <c r="GO45" s="369"/>
      <c r="GP45" s="367"/>
      <c r="GQ45" s="367"/>
      <c r="GR45" s="398"/>
      <c r="GS45" s="305"/>
      <c r="GT45" s="337"/>
      <c r="GU45" s="337"/>
      <c r="GV45" s="369"/>
      <c r="GW45" s="367"/>
      <c r="GX45" s="367"/>
      <c r="GY45" s="398"/>
      <c r="GZ45" s="305"/>
      <c r="HA45" s="337"/>
      <c r="HB45" s="337"/>
      <c r="HC45" s="369"/>
      <c r="HD45" s="367"/>
      <c r="HE45" s="367"/>
      <c r="HF45" s="398"/>
      <c r="HG45" s="305"/>
      <c r="HH45" s="337"/>
      <c r="HI45" s="337"/>
      <c r="HJ45" s="369"/>
      <c r="HK45" s="367"/>
      <c r="HL45" s="367"/>
      <c r="HM45" s="398"/>
      <c r="HN45" s="305"/>
      <c r="HO45" s="337"/>
      <c r="HP45" s="337"/>
      <c r="HQ45" s="369"/>
      <c r="HR45" s="367"/>
      <c r="HS45" s="367"/>
      <c r="HT45" s="398"/>
      <c r="HU45" s="305"/>
      <c r="HV45" s="337"/>
      <c r="HW45" s="337"/>
      <c r="HX45" s="369"/>
      <c r="HY45" s="367"/>
      <c r="HZ45" s="367"/>
      <c r="IA45" s="398"/>
      <c r="IB45" s="305"/>
      <c r="IC45" s="337"/>
      <c r="ID45" s="337"/>
      <c r="IE45" s="369"/>
      <c r="IF45" s="367"/>
      <c r="IG45" s="367"/>
      <c r="IH45" s="398"/>
      <c r="II45" s="305"/>
      <c r="IJ45" s="337"/>
      <c r="IK45" s="337"/>
      <c r="IL45" s="369"/>
      <c r="IM45" s="367"/>
      <c r="IN45" s="367"/>
      <c r="IO45" s="398"/>
      <c r="IP45" s="305"/>
      <c r="IQ45" s="337"/>
      <c r="IR45" s="337"/>
      <c r="IS45" s="369"/>
      <c r="IT45" s="367"/>
    </row>
    <row r="46" spans="2:253" s="337" customFormat="1" ht="16.5" customHeight="1">
      <c r="B46" s="332"/>
      <c r="C46" s="332"/>
      <c r="D46" s="305"/>
      <c r="E46" s="305"/>
      <c r="F46" s="305"/>
      <c r="G46" s="305"/>
      <c r="H46" s="369"/>
      <c r="I46" s="340"/>
      <c r="J46" s="369"/>
      <c r="K46" s="369"/>
      <c r="M46" s="340"/>
      <c r="O46" s="369"/>
      <c r="P46" s="340"/>
      <c r="Q46" s="369"/>
      <c r="R46" s="369"/>
      <c r="T46" s="340"/>
      <c r="V46" s="369"/>
      <c r="W46" s="340"/>
      <c r="X46" s="369"/>
      <c r="Y46" s="369"/>
      <c r="AA46" s="340"/>
      <c r="AC46" s="369"/>
      <c r="AD46" s="340"/>
      <c r="AE46" s="369"/>
      <c r="AF46" s="369"/>
      <c r="AH46" s="340"/>
      <c r="AJ46" s="369"/>
      <c r="AK46" s="340"/>
      <c r="AL46" s="369"/>
      <c r="AM46" s="369"/>
      <c r="AO46" s="340"/>
      <c r="AQ46" s="369"/>
      <c r="AR46" s="340"/>
      <c r="AS46" s="369"/>
      <c r="AT46" s="369"/>
      <c r="AV46" s="340"/>
      <c r="AX46" s="369"/>
      <c r="AY46" s="340"/>
      <c r="AZ46" s="369"/>
      <c r="BA46" s="369"/>
      <c r="BC46" s="340"/>
      <c r="BE46" s="369"/>
      <c r="BF46" s="340"/>
      <c r="BG46" s="369"/>
      <c r="BH46" s="369"/>
      <c r="BJ46" s="340"/>
      <c r="BL46" s="369"/>
      <c r="BM46" s="340"/>
      <c r="BN46" s="369"/>
      <c r="BO46" s="369"/>
      <c r="BQ46" s="340"/>
      <c r="BS46" s="369"/>
      <c r="BT46" s="340"/>
      <c r="BU46" s="369"/>
      <c r="BV46" s="369"/>
      <c r="BX46" s="340"/>
      <c r="BZ46" s="369"/>
      <c r="CA46" s="340"/>
      <c r="CB46" s="369"/>
      <c r="CC46" s="369"/>
      <c r="CE46" s="340"/>
      <c r="CG46" s="369"/>
      <c r="CH46" s="340"/>
      <c r="CI46" s="369"/>
      <c r="CJ46" s="369"/>
      <c r="CL46" s="340"/>
      <c r="CN46" s="369"/>
      <c r="CO46" s="340"/>
      <c r="CP46" s="369"/>
      <c r="CQ46" s="369"/>
      <c r="CS46" s="340"/>
      <c r="CU46" s="369"/>
      <c r="CV46" s="340"/>
      <c r="CW46" s="369"/>
      <c r="CX46" s="369"/>
      <c r="CZ46" s="340"/>
      <c r="DB46" s="369"/>
      <c r="DC46" s="340"/>
      <c r="DD46" s="369"/>
      <c r="DE46" s="369"/>
      <c r="DG46" s="340"/>
      <c r="DI46" s="369"/>
      <c r="DJ46" s="340"/>
      <c r="DK46" s="369"/>
      <c r="DL46" s="369"/>
      <c r="DN46" s="340"/>
      <c r="DP46" s="369"/>
      <c r="DQ46" s="340"/>
      <c r="DR46" s="369"/>
      <c r="DS46" s="369"/>
      <c r="DU46" s="340"/>
      <c r="DW46" s="369"/>
      <c r="DX46" s="340"/>
      <c r="DY46" s="369"/>
      <c r="DZ46" s="369"/>
      <c r="EB46" s="340"/>
      <c r="ED46" s="369"/>
      <c r="EE46" s="340"/>
      <c r="EF46" s="369"/>
      <c r="EG46" s="369"/>
      <c r="EI46" s="340"/>
      <c r="EK46" s="369"/>
      <c r="EL46" s="340"/>
      <c r="EM46" s="369"/>
      <c r="EN46" s="369"/>
      <c r="EP46" s="340"/>
      <c r="ER46" s="369"/>
      <c r="ES46" s="340"/>
      <c r="ET46" s="369"/>
      <c r="EU46" s="369"/>
      <c r="EW46" s="340"/>
      <c r="EY46" s="369"/>
      <c r="EZ46" s="340"/>
      <c r="FA46" s="369"/>
      <c r="FB46" s="369"/>
      <c r="FD46" s="340"/>
      <c r="FF46" s="369"/>
      <c r="FG46" s="340"/>
      <c r="FH46" s="369"/>
      <c r="FI46" s="369"/>
      <c r="FK46" s="340"/>
      <c r="FM46" s="369"/>
      <c r="FN46" s="340"/>
      <c r="FO46" s="369"/>
      <c r="FP46" s="369"/>
      <c r="FR46" s="340"/>
      <c r="FT46" s="369"/>
      <c r="FU46" s="340"/>
      <c r="FV46" s="369"/>
      <c r="FW46" s="369"/>
      <c r="FY46" s="340"/>
      <c r="GA46" s="369"/>
      <c r="GB46" s="340"/>
      <c r="GC46" s="369"/>
      <c r="GD46" s="369"/>
      <c r="GF46" s="340"/>
      <c r="GH46" s="369"/>
      <c r="GI46" s="340"/>
      <c r="GJ46" s="369"/>
      <c r="GK46" s="369"/>
      <c r="GM46" s="340"/>
      <c r="GO46" s="369"/>
      <c r="GP46" s="340"/>
      <c r="GQ46" s="369"/>
      <c r="GR46" s="369"/>
      <c r="GT46" s="340"/>
      <c r="GV46" s="369"/>
      <c r="GW46" s="340"/>
      <c r="GX46" s="369"/>
      <c r="GY46" s="369"/>
      <c r="HA46" s="340"/>
      <c r="HC46" s="369"/>
      <c r="HD46" s="340"/>
      <c r="HE46" s="369"/>
      <c r="HF46" s="369"/>
      <c r="HH46" s="340"/>
      <c r="HJ46" s="369"/>
      <c r="HK46" s="340"/>
      <c r="HL46" s="369"/>
      <c r="HM46" s="369"/>
      <c r="HO46" s="340"/>
      <c r="HQ46" s="369"/>
      <c r="HR46" s="340"/>
      <c r="HS46" s="369"/>
      <c r="HT46" s="369"/>
      <c r="HV46" s="340"/>
      <c r="HX46" s="369"/>
      <c r="HY46" s="340"/>
      <c r="HZ46" s="369"/>
      <c r="IA46" s="369"/>
      <c r="IC46" s="340"/>
      <c r="IE46" s="369"/>
      <c r="IF46" s="340"/>
      <c r="IG46" s="369"/>
      <c r="IH46" s="369"/>
      <c r="IJ46" s="340"/>
      <c r="IL46" s="369"/>
      <c r="IM46" s="340"/>
      <c r="IN46" s="369"/>
      <c r="IO46" s="369"/>
      <c r="IQ46" s="340"/>
      <c r="IS46" s="369"/>
    </row>
    <row r="47" spans="1:7" s="340" customFormat="1" ht="12.75">
      <c r="A47" s="370"/>
      <c r="B47" s="399"/>
      <c r="C47" s="399"/>
      <c r="D47" s="305"/>
      <c r="E47" s="305"/>
      <c r="F47" s="305"/>
      <c r="G47" s="305"/>
    </row>
    <row r="48" spans="1:7" s="318" customFormat="1" ht="12.75">
      <c r="A48" s="400"/>
      <c r="D48" s="305"/>
      <c r="E48" s="305"/>
      <c r="F48" s="305"/>
      <c r="G48" s="305"/>
    </row>
    <row r="49" spans="1:7" s="318" customFormat="1" ht="12.75">
      <c r="A49" s="335"/>
      <c r="B49" s="335"/>
      <c r="C49" s="335"/>
      <c r="D49" s="305"/>
      <c r="E49" s="305"/>
      <c r="F49" s="305"/>
      <c r="G49" s="305"/>
    </row>
    <row r="57" spans="4:7" ht="11.25">
      <c r="D57" s="305">
        <v>0</v>
      </c>
      <c r="E57" s="305">
        <v>0</v>
      </c>
      <c r="F57" s="305">
        <v>0</v>
      </c>
      <c r="G57" s="305">
        <v>0</v>
      </c>
    </row>
    <row r="58" spans="4:7" ht="11.25">
      <c r="D58" s="305">
        <v>0</v>
      </c>
      <c r="E58" s="305">
        <v>0</v>
      </c>
      <c r="F58" s="305">
        <v>0</v>
      </c>
      <c r="G58" s="305">
        <v>0</v>
      </c>
    </row>
    <row r="59" spans="4:7" ht="11.25">
      <c r="D59" s="305">
        <v>0</v>
      </c>
      <c r="E59" s="305">
        <v>0</v>
      </c>
      <c r="F59" s="305">
        <v>0</v>
      </c>
      <c r="G59" s="305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15.11.99.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F32">
      <selection activeCell="E47" sqref="E47"/>
    </sheetView>
  </sheetViews>
  <sheetFormatPr defaultColWidth="9.140625" defaultRowHeight="12.75"/>
  <cols>
    <col min="1" max="1" width="17.7109375" style="402" customWidth="1"/>
    <col min="2" max="2" width="8.8515625" style="305" customWidth="1"/>
    <col min="3" max="3" width="8.421875" style="305" customWidth="1"/>
    <col min="4" max="4" width="8.8515625" style="305" customWidth="1"/>
    <col min="5" max="5" width="8.57421875" style="305" customWidth="1"/>
    <col min="6" max="6" width="6.8515625" style="305" customWidth="1"/>
    <col min="7" max="7" width="8.421875" style="305" customWidth="1"/>
    <col min="8" max="8" width="11.28125" style="305" customWidth="1"/>
    <col min="9" max="9" width="10.140625" style="305" customWidth="1"/>
    <col min="10" max="10" width="8.57421875" style="305" customWidth="1"/>
    <col min="11" max="11" width="8.00390625" style="305" customWidth="1"/>
    <col min="12" max="13" width="7.57421875" style="305" customWidth="1"/>
    <col min="14" max="14" width="7.140625" style="305" customWidth="1"/>
    <col min="15" max="16" width="9.28125" style="305" customWidth="1"/>
    <col min="17" max="16384" width="8.00390625" style="305" customWidth="1"/>
  </cols>
  <sheetData>
    <row r="1" spans="1:16" ht="12.75">
      <c r="A1" s="401"/>
      <c r="B1" s="318"/>
      <c r="C1" s="318"/>
      <c r="D1" s="318"/>
      <c r="E1" s="318"/>
      <c r="F1" s="318" t="s">
        <v>538</v>
      </c>
      <c r="G1" s="318"/>
      <c r="H1" s="318"/>
      <c r="I1" s="318"/>
      <c r="J1" s="318"/>
      <c r="K1" s="318"/>
      <c r="L1" s="318"/>
      <c r="M1" s="318"/>
      <c r="N1" s="304"/>
      <c r="O1" s="304"/>
      <c r="P1" s="304" t="s">
        <v>539</v>
      </c>
    </row>
    <row r="2" spans="14:15" ht="12">
      <c r="N2" s="403"/>
      <c r="O2" s="312"/>
    </row>
    <row r="3" spans="1:16" s="318" customFormat="1" ht="12.75">
      <c r="A3" s="401"/>
      <c r="N3" s="304"/>
      <c r="O3" s="304"/>
      <c r="P3" s="304"/>
    </row>
    <row r="4" spans="1:16" s="310" customFormat="1" ht="15.75">
      <c r="A4" s="404" t="s">
        <v>540</v>
      </c>
      <c r="B4" s="404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s="407" customFormat="1" ht="15.75">
      <c r="A5" s="405" t="s">
        <v>471</v>
      </c>
      <c r="B5" s="405"/>
      <c r="C5" s="405"/>
      <c r="D5" s="405"/>
      <c r="E5" s="406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</row>
    <row r="6" spans="1:16" s="407" customFormat="1" ht="15.75">
      <c r="A6" s="405"/>
      <c r="B6" s="405"/>
      <c r="C6" s="405"/>
      <c r="D6" s="405"/>
      <c r="E6" s="406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</row>
    <row r="7" spans="1:16" s="313" customFormat="1" ht="11.25">
      <c r="A7" s="408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 t="s">
        <v>541</v>
      </c>
      <c r="N7" s="315"/>
      <c r="O7" s="393"/>
      <c r="P7" s="315"/>
    </row>
    <row r="8" spans="1:16" s="318" customFormat="1" ht="12.75">
      <c r="A8" s="409"/>
      <c r="B8" s="410" t="s">
        <v>288</v>
      </c>
      <c r="C8" s="410"/>
      <c r="D8" s="410"/>
      <c r="E8" s="411" t="s">
        <v>542</v>
      </c>
      <c r="F8" s="410"/>
      <c r="G8" s="410"/>
      <c r="H8" s="412"/>
      <c r="I8" s="412"/>
      <c r="J8" s="413" t="s">
        <v>543</v>
      </c>
      <c r="K8" s="410"/>
      <c r="L8" s="410"/>
      <c r="M8" s="414"/>
      <c r="N8" s="410"/>
      <c r="O8" s="415"/>
      <c r="P8" s="416"/>
    </row>
    <row r="9" spans="1:16" ht="11.25">
      <c r="A9" s="417"/>
      <c r="B9" s="347"/>
      <c r="C9" s="418"/>
      <c r="D9" s="418"/>
      <c r="E9" s="418"/>
      <c r="F9" s="418"/>
      <c r="G9" s="418"/>
      <c r="H9" s="418"/>
      <c r="I9" s="418"/>
      <c r="J9" s="418"/>
      <c r="K9" s="418"/>
      <c r="L9" s="419" t="s">
        <v>544</v>
      </c>
      <c r="M9" s="419"/>
      <c r="N9" s="347"/>
      <c r="O9" s="418"/>
      <c r="P9" s="420"/>
    </row>
    <row r="10" spans="1:16" s="427" customFormat="1" ht="45">
      <c r="A10" s="421" t="s">
        <v>545</v>
      </c>
      <c r="B10" s="422" t="s">
        <v>546</v>
      </c>
      <c r="C10" s="423" t="s">
        <v>547</v>
      </c>
      <c r="D10" s="424" t="s">
        <v>548</v>
      </c>
      <c r="E10" s="424" t="s">
        <v>549</v>
      </c>
      <c r="F10" s="424" t="s">
        <v>550</v>
      </c>
      <c r="G10" s="424" t="s">
        <v>551</v>
      </c>
      <c r="H10" s="424" t="s">
        <v>552</v>
      </c>
      <c r="I10" s="424" t="s">
        <v>553</v>
      </c>
      <c r="J10" s="424" t="s">
        <v>27</v>
      </c>
      <c r="K10" s="424" t="s">
        <v>554</v>
      </c>
      <c r="L10" s="424" t="s">
        <v>555</v>
      </c>
      <c r="M10" s="424" t="s">
        <v>556</v>
      </c>
      <c r="N10" s="424" t="s">
        <v>557</v>
      </c>
      <c r="O10" s="425" t="s">
        <v>39</v>
      </c>
      <c r="P10" s="426" t="s">
        <v>558</v>
      </c>
    </row>
    <row r="11" spans="1:16" s="313" customFormat="1" ht="11.25">
      <c r="A11" s="428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  <c r="H11" s="429">
        <v>8</v>
      </c>
      <c r="I11" s="429">
        <v>9</v>
      </c>
      <c r="J11" s="429">
        <v>10</v>
      </c>
      <c r="K11" s="429">
        <v>11</v>
      </c>
      <c r="L11" s="429">
        <v>12</v>
      </c>
      <c r="M11" s="429">
        <v>13</v>
      </c>
      <c r="N11" s="429">
        <v>14</v>
      </c>
      <c r="O11" s="429">
        <v>15</v>
      </c>
      <c r="P11" s="430">
        <v>16</v>
      </c>
    </row>
    <row r="12" spans="1:16" ht="12.75">
      <c r="A12" s="431" t="s">
        <v>559</v>
      </c>
      <c r="B12" s="432"/>
      <c r="C12" s="432"/>
      <c r="D12" s="432"/>
      <c r="E12" s="432"/>
      <c r="F12" s="432"/>
      <c r="G12" s="432"/>
      <c r="H12" s="432"/>
      <c r="I12" s="432"/>
      <c r="J12" s="432">
        <v>0</v>
      </c>
      <c r="K12" s="432"/>
      <c r="L12" s="432"/>
      <c r="M12" s="432"/>
      <c r="N12" s="432"/>
      <c r="O12" s="432"/>
      <c r="P12" s="433">
        <v>0</v>
      </c>
    </row>
    <row r="13" spans="1:16" ht="12">
      <c r="A13" s="434" t="s">
        <v>560</v>
      </c>
      <c r="B13" s="435">
        <v>94397295</v>
      </c>
      <c r="C13" s="435">
        <v>17875749</v>
      </c>
      <c r="D13" s="435">
        <v>112273044</v>
      </c>
      <c r="E13" s="435">
        <v>104052999</v>
      </c>
      <c r="F13" s="435">
        <v>14375749</v>
      </c>
      <c r="G13" s="435">
        <v>118428748</v>
      </c>
      <c r="H13" s="435">
        <v>-6155704</v>
      </c>
      <c r="I13" s="435">
        <v>6155704</v>
      </c>
      <c r="J13" s="435">
        <v>-2000000</v>
      </c>
      <c r="K13" s="435">
        <v>6214381</v>
      </c>
      <c r="L13" s="435">
        <v>6214381</v>
      </c>
      <c r="M13" s="435">
        <v>0</v>
      </c>
      <c r="N13" s="435">
        <v>0</v>
      </c>
      <c r="O13" s="435">
        <v>1195789</v>
      </c>
      <c r="P13" s="436">
        <v>745534</v>
      </c>
    </row>
    <row r="14" spans="1:16" ht="12">
      <c r="A14" s="437" t="s">
        <v>561</v>
      </c>
      <c r="B14" s="435">
        <v>8054907</v>
      </c>
      <c r="C14" s="435">
        <v>3170877</v>
      </c>
      <c r="D14" s="435">
        <v>11225784</v>
      </c>
      <c r="E14" s="435">
        <v>11681503</v>
      </c>
      <c r="F14" s="435">
        <v>14094</v>
      </c>
      <c r="G14" s="435">
        <v>11695597</v>
      </c>
      <c r="H14" s="435">
        <v>-469813</v>
      </c>
      <c r="I14" s="435">
        <v>469813</v>
      </c>
      <c r="J14" s="435">
        <v>270000</v>
      </c>
      <c r="K14" s="435">
        <v>199813</v>
      </c>
      <c r="L14" s="435">
        <v>461910</v>
      </c>
      <c r="M14" s="435">
        <v>262097</v>
      </c>
      <c r="N14" s="435">
        <v>0</v>
      </c>
      <c r="O14" s="435">
        <v>0</v>
      </c>
      <c r="P14" s="436">
        <v>0</v>
      </c>
    </row>
    <row r="15" spans="1:16" ht="12">
      <c r="A15" s="437" t="s">
        <v>562</v>
      </c>
      <c r="B15" s="435">
        <v>5071984</v>
      </c>
      <c r="C15" s="435">
        <v>2538422</v>
      </c>
      <c r="D15" s="435">
        <v>7610406</v>
      </c>
      <c r="E15" s="435">
        <v>7101818</v>
      </c>
      <c r="F15" s="435">
        <v>150417</v>
      </c>
      <c r="G15" s="435">
        <v>7252235</v>
      </c>
      <c r="H15" s="435">
        <v>358171</v>
      </c>
      <c r="I15" s="435">
        <v>-358171</v>
      </c>
      <c r="J15" s="435">
        <v>-901200</v>
      </c>
      <c r="K15" s="435">
        <v>-183100</v>
      </c>
      <c r="L15" s="435">
        <v>64369</v>
      </c>
      <c r="M15" s="435">
        <v>247469</v>
      </c>
      <c r="N15" s="435">
        <v>0</v>
      </c>
      <c r="O15" s="435">
        <v>246939</v>
      </c>
      <c r="P15" s="436">
        <v>479190</v>
      </c>
    </row>
    <row r="16" spans="1:16" ht="12">
      <c r="A16" s="437" t="s">
        <v>563</v>
      </c>
      <c r="B16" s="435">
        <v>4989214</v>
      </c>
      <c r="C16" s="435">
        <v>1282771</v>
      </c>
      <c r="D16" s="435">
        <v>6271985</v>
      </c>
      <c r="E16" s="435">
        <v>6773679</v>
      </c>
      <c r="F16" s="435">
        <v>102342</v>
      </c>
      <c r="G16" s="435">
        <v>6876021</v>
      </c>
      <c r="H16" s="435">
        <v>-604036</v>
      </c>
      <c r="I16" s="435">
        <v>604036</v>
      </c>
      <c r="J16" s="435">
        <v>577000</v>
      </c>
      <c r="K16" s="435">
        <v>27036</v>
      </c>
      <c r="L16" s="435">
        <v>205452</v>
      </c>
      <c r="M16" s="435">
        <v>178416</v>
      </c>
      <c r="N16" s="435">
        <v>0</v>
      </c>
      <c r="O16" s="435">
        <v>0</v>
      </c>
      <c r="P16" s="436">
        <v>0</v>
      </c>
    </row>
    <row r="17" spans="1:16" ht="12">
      <c r="A17" s="437" t="s">
        <v>564</v>
      </c>
      <c r="B17" s="435">
        <v>7787866</v>
      </c>
      <c r="C17" s="435">
        <v>2746852</v>
      </c>
      <c r="D17" s="435">
        <v>10534718</v>
      </c>
      <c r="E17" s="435">
        <v>9873432</v>
      </c>
      <c r="F17" s="435">
        <v>236786</v>
      </c>
      <c r="G17" s="435">
        <v>10110218</v>
      </c>
      <c r="H17" s="435">
        <v>424500</v>
      </c>
      <c r="I17" s="435">
        <v>-424500</v>
      </c>
      <c r="J17" s="435">
        <v>-26891</v>
      </c>
      <c r="K17" s="435">
        <v>-397609</v>
      </c>
      <c r="L17" s="435">
        <v>408121</v>
      </c>
      <c r="M17" s="435">
        <v>805730</v>
      </c>
      <c r="N17" s="435">
        <v>0</v>
      </c>
      <c r="O17" s="435">
        <v>0</v>
      </c>
      <c r="P17" s="436">
        <v>0</v>
      </c>
    </row>
    <row r="18" spans="1:16" ht="12">
      <c r="A18" s="437" t="s">
        <v>565</v>
      </c>
      <c r="B18" s="435">
        <v>2979499</v>
      </c>
      <c r="C18" s="435">
        <v>1277850</v>
      </c>
      <c r="D18" s="435">
        <v>4257349</v>
      </c>
      <c r="E18" s="435">
        <v>4115430</v>
      </c>
      <c r="F18" s="435">
        <v>6072</v>
      </c>
      <c r="G18" s="435">
        <v>4121502</v>
      </c>
      <c r="H18" s="435">
        <v>135847</v>
      </c>
      <c r="I18" s="435">
        <v>-135847</v>
      </c>
      <c r="J18" s="435">
        <v>-16000</v>
      </c>
      <c r="K18" s="435">
        <v>-119847</v>
      </c>
      <c r="L18" s="435">
        <v>78705</v>
      </c>
      <c r="M18" s="435">
        <v>198552</v>
      </c>
      <c r="N18" s="435">
        <v>0</v>
      </c>
      <c r="O18" s="435">
        <v>0</v>
      </c>
      <c r="P18" s="436">
        <v>0</v>
      </c>
    </row>
    <row r="19" spans="1:16" ht="12">
      <c r="A19" s="437" t="s">
        <v>566</v>
      </c>
      <c r="B19" s="435">
        <v>9553899</v>
      </c>
      <c r="C19" s="435">
        <v>1346155</v>
      </c>
      <c r="D19" s="435">
        <v>10900054</v>
      </c>
      <c r="E19" s="435">
        <v>7763886</v>
      </c>
      <c r="F19" s="435">
        <v>2220899</v>
      </c>
      <c r="G19" s="435">
        <v>9984785</v>
      </c>
      <c r="H19" s="435">
        <v>915269</v>
      </c>
      <c r="I19" s="435">
        <v>-915269</v>
      </c>
      <c r="J19" s="435">
        <v>0</v>
      </c>
      <c r="K19" s="435">
        <v>-915269</v>
      </c>
      <c r="L19" s="435">
        <v>630911</v>
      </c>
      <c r="M19" s="435">
        <v>1546180</v>
      </c>
      <c r="N19" s="435">
        <v>0</v>
      </c>
      <c r="O19" s="435">
        <v>0</v>
      </c>
      <c r="P19" s="436">
        <v>0</v>
      </c>
    </row>
    <row r="20" spans="1:16" ht="12.75">
      <c r="A20" s="431" t="s">
        <v>567</v>
      </c>
      <c r="B20" s="435">
        <f aca="true" t="shared" si="0" ref="B20:P20">SUM(B13:B19)</f>
        <v>132835000</v>
      </c>
      <c r="C20" s="435">
        <f t="shared" si="0"/>
        <v>30239000</v>
      </c>
      <c r="D20" s="435">
        <f t="shared" si="0"/>
        <v>163073000</v>
      </c>
      <c r="E20" s="435">
        <f t="shared" si="0"/>
        <v>151363000</v>
      </c>
      <c r="F20" s="435">
        <f t="shared" si="0"/>
        <v>17106000</v>
      </c>
      <c r="G20" s="435">
        <f t="shared" si="0"/>
        <v>168469000</v>
      </c>
      <c r="H20" s="435">
        <f t="shared" si="0"/>
        <v>-5396000</v>
      </c>
      <c r="I20" s="435">
        <f t="shared" si="0"/>
        <v>5396000</v>
      </c>
      <c r="J20" s="435">
        <f t="shared" si="0"/>
        <v>-2097000</v>
      </c>
      <c r="K20" s="435">
        <f t="shared" si="0"/>
        <v>4825000</v>
      </c>
      <c r="L20" s="435">
        <f t="shared" si="0"/>
        <v>8064000</v>
      </c>
      <c r="M20" s="435">
        <f t="shared" si="0"/>
        <v>3238000</v>
      </c>
      <c r="N20" s="435">
        <f t="shared" si="0"/>
        <v>0</v>
      </c>
      <c r="O20" s="435">
        <f t="shared" si="0"/>
        <v>1443000</v>
      </c>
      <c r="P20" s="436">
        <f t="shared" si="0"/>
        <v>1225000</v>
      </c>
    </row>
    <row r="21" spans="1:16" s="438" customFormat="1" ht="12.75">
      <c r="A21" s="431" t="s">
        <v>568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6"/>
    </row>
    <row r="22" spans="1:16" ht="12">
      <c r="A22" s="437" t="s">
        <v>569</v>
      </c>
      <c r="B22" s="435">
        <v>2946337</v>
      </c>
      <c r="C22" s="435">
        <v>2916357</v>
      </c>
      <c r="D22" s="435">
        <v>5862694</v>
      </c>
      <c r="E22" s="435">
        <v>5237953</v>
      </c>
      <c r="F22" s="435">
        <v>329868</v>
      </c>
      <c r="G22" s="435">
        <v>5567821</v>
      </c>
      <c r="H22" s="435">
        <v>294873</v>
      </c>
      <c r="I22" s="435">
        <v>-294873</v>
      </c>
      <c r="J22" s="435">
        <v>-53765</v>
      </c>
      <c r="K22" s="435">
        <v>-320580</v>
      </c>
      <c r="L22" s="435">
        <v>255676</v>
      </c>
      <c r="M22" s="435">
        <v>577000</v>
      </c>
      <c r="N22" s="435">
        <v>-9538</v>
      </c>
      <c r="O22" s="435">
        <v>139000</v>
      </c>
      <c r="P22" s="436">
        <v>-49990</v>
      </c>
    </row>
    <row r="23" spans="1:16" ht="12">
      <c r="A23" s="437" t="s">
        <v>570</v>
      </c>
      <c r="B23" s="435">
        <v>1465815</v>
      </c>
      <c r="C23" s="435">
        <v>2016851</v>
      </c>
      <c r="D23" s="435">
        <v>3482666</v>
      </c>
      <c r="E23" s="435">
        <v>3461775</v>
      </c>
      <c r="F23" s="435">
        <v>56815</v>
      </c>
      <c r="G23" s="435">
        <v>3518590</v>
      </c>
      <c r="H23" s="435">
        <v>-35924</v>
      </c>
      <c r="I23" s="435">
        <v>35924</v>
      </c>
      <c r="J23" s="435">
        <v>139972</v>
      </c>
      <c r="K23" s="435">
        <v>-100216</v>
      </c>
      <c r="L23" s="435">
        <v>80897</v>
      </c>
      <c r="M23" s="435">
        <v>181113</v>
      </c>
      <c r="N23" s="435">
        <v>0</v>
      </c>
      <c r="O23" s="435">
        <v>-2910</v>
      </c>
      <c r="P23" s="436">
        <v>-922</v>
      </c>
    </row>
    <row r="24" spans="1:16" ht="12">
      <c r="A24" s="437" t="s">
        <v>571</v>
      </c>
      <c r="B24" s="435">
        <v>1473088</v>
      </c>
      <c r="C24" s="435">
        <v>2480753</v>
      </c>
      <c r="D24" s="435">
        <v>3953841</v>
      </c>
      <c r="E24" s="435">
        <v>3785719</v>
      </c>
      <c r="F24" s="435">
        <v>104488</v>
      </c>
      <c r="G24" s="435">
        <v>3890207</v>
      </c>
      <c r="H24" s="435">
        <v>63634</v>
      </c>
      <c r="I24" s="435">
        <v>-63634</v>
      </c>
      <c r="J24" s="435">
        <v>15000</v>
      </c>
      <c r="K24" s="435">
        <v>-77118</v>
      </c>
      <c r="L24" s="435">
        <v>116960</v>
      </c>
      <c r="M24" s="435">
        <v>194078</v>
      </c>
      <c r="N24" s="435">
        <v>0</v>
      </c>
      <c r="O24" s="435">
        <v>-1516</v>
      </c>
      <c r="P24" s="436">
        <v>0</v>
      </c>
    </row>
    <row r="25" spans="1:16" ht="12">
      <c r="A25" s="437" t="s">
        <v>572</v>
      </c>
      <c r="B25" s="435">
        <v>3146525</v>
      </c>
      <c r="C25" s="435">
        <v>3275515</v>
      </c>
      <c r="D25" s="435">
        <v>6422040</v>
      </c>
      <c r="E25" s="435">
        <v>5907654</v>
      </c>
      <c r="F25" s="435">
        <v>337873</v>
      </c>
      <c r="G25" s="435">
        <v>6245527</v>
      </c>
      <c r="H25" s="435">
        <v>176513</v>
      </c>
      <c r="I25" s="435">
        <v>-176513</v>
      </c>
      <c r="J25" s="435">
        <v>-14514</v>
      </c>
      <c r="K25" s="435">
        <v>-180375</v>
      </c>
      <c r="L25" s="435">
        <v>168381</v>
      </c>
      <c r="M25" s="435">
        <v>348756</v>
      </c>
      <c r="N25" s="435">
        <v>5500</v>
      </c>
      <c r="O25" s="435">
        <v>23030</v>
      </c>
      <c r="P25" s="436">
        <v>-10154</v>
      </c>
    </row>
    <row r="26" spans="1:16" ht="12">
      <c r="A26" s="437" t="s">
        <v>573</v>
      </c>
      <c r="B26" s="435">
        <v>4530877</v>
      </c>
      <c r="C26" s="435">
        <v>4216212</v>
      </c>
      <c r="D26" s="435">
        <v>8747089</v>
      </c>
      <c r="E26" s="435">
        <v>8360168</v>
      </c>
      <c r="F26" s="435">
        <v>228935</v>
      </c>
      <c r="G26" s="435">
        <v>8589103</v>
      </c>
      <c r="H26" s="435">
        <v>157986</v>
      </c>
      <c r="I26" s="435">
        <v>-157986</v>
      </c>
      <c r="J26" s="435">
        <v>8084</v>
      </c>
      <c r="K26" s="435">
        <v>-141620</v>
      </c>
      <c r="L26" s="435">
        <v>278037</v>
      </c>
      <c r="M26" s="435">
        <v>419657</v>
      </c>
      <c r="N26" s="435">
        <v>-6418</v>
      </c>
      <c r="O26" s="435">
        <v>0</v>
      </c>
      <c r="P26" s="436">
        <v>-18032</v>
      </c>
    </row>
    <row r="27" spans="1:16" ht="12">
      <c r="A27" s="437" t="s">
        <v>574</v>
      </c>
      <c r="B27" s="435">
        <v>2544300</v>
      </c>
      <c r="C27" s="435">
        <v>2911502</v>
      </c>
      <c r="D27" s="435">
        <v>5455802</v>
      </c>
      <c r="E27" s="435">
        <v>5199312</v>
      </c>
      <c r="F27" s="435">
        <v>314683</v>
      </c>
      <c r="G27" s="435">
        <v>5513995</v>
      </c>
      <c r="H27" s="435">
        <v>-58193</v>
      </c>
      <c r="I27" s="435">
        <v>58193</v>
      </c>
      <c r="J27" s="435">
        <v>249508</v>
      </c>
      <c r="K27" s="435">
        <v>-180197</v>
      </c>
      <c r="L27" s="435">
        <v>182974</v>
      </c>
      <c r="M27" s="435">
        <v>363171</v>
      </c>
      <c r="N27" s="435">
        <v>1721</v>
      </c>
      <c r="O27" s="435">
        <v>0</v>
      </c>
      <c r="P27" s="436">
        <v>-12839</v>
      </c>
    </row>
    <row r="28" spans="1:16" ht="12">
      <c r="A28" s="437" t="s">
        <v>575</v>
      </c>
      <c r="B28" s="435">
        <v>2568000</v>
      </c>
      <c r="C28" s="435">
        <v>2306613</v>
      </c>
      <c r="D28" s="435">
        <v>4875230</v>
      </c>
      <c r="E28" s="435">
        <v>4589914</v>
      </c>
      <c r="F28" s="435">
        <v>216529</v>
      </c>
      <c r="G28" s="435">
        <v>4806443</v>
      </c>
      <c r="H28" s="435">
        <v>68787</v>
      </c>
      <c r="I28" s="435">
        <v>-68787</v>
      </c>
      <c r="J28" s="435">
        <v>-8621</v>
      </c>
      <c r="K28" s="435">
        <v>-57246</v>
      </c>
      <c r="L28" s="435">
        <v>190834</v>
      </c>
      <c r="M28" s="435">
        <v>248080</v>
      </c>
      <c r="N28" s="435">
        <v>0</v>
      </c>
      <c r="O28" s="435">
        <v>0</v>
      </c>
      <c r="P28" s="436">
        <v>-2920</v>
      </c>
    </row>
    <row r="29" spans="1:16" ht="12">
      <c r="A29" s="437" t="s">
        <v>576</v>
      </c>
      <c r="B29" s="435">
        <v>1757792</v>
      </c>
      <c r="C29" s="435">
        <v>1797885</v>
      </c>
      <c r="D29" s="435">
        <v>3555677</v>
      </c>
      <c r="E29" s="435">
        <v>3145836</v>
      </c>
      <c r="F29" s="435">
        <v>97939</v>
      </c>
      <c r="G29" s="435">
        <v>3243775</v>
      </c>
      <c r="H29" s="435">
        <v>311902</v>
      </c>
      <c r="I29" s="435">
        <v>-311902</v>
      </c>
      <c r="J29" s="435">
        <v>-10295</v>
      </c>
      <c r="K29" s="435">
        <v>-279045</v>
      </c>
      <c r="L29" s="435">
        <v>46901</v>
      </c>
      <c r="M29" s="435">
        <v>325946</v>
      </c>
      <c r="N29" s="435">
        <v>0</v>
      </c>
      <c r="O29" s="435">
        <v>0</v>
      </c>
      <c r="P29" s="436">
        <v>-22562</v>
      </c>
    </row>
    <row r="30" spans="1:16" ht="12">
      <c r="A30" s="437" t="s">
        <v>577</v>
      </c>
      <c r="B30" s="435">
        <v>2210749</v>
      </c>
      <c r="C30" s="435">
        <v>2267435</v>
      </c>
      <c r="D30" s="435">
        <v>4478184</v>
      </c>
      <c r="E30" s="435">
        <v>4178523</v>
      </c>
      <c r="F30" s="435">
        <v>253650</v>
      </c>
      <c r="G30" s="435">
        <v>4432173</v>
      </c>
      <c r="H30" s="435">
        <v>46011</v>
      </c>
      <c r="I30" s="435">
        <v>-46011</v>
      </c>
      <c r="J30" s="435">
        <v>-46000</v>
      </c>
      <c r="K30" s="435">
        <v>-85011</v>
      </c>
      <c r="L30" s="435">
        <v>83636</v>
      </c>
      <c r="M30" s="435">
        <v>168647</v>
      </c>
      <c r="N30" s="435">
        <v>80000</v>
      </c>
      <c r="O30" s="435">
        <v>5000</v>
      </c>
      <c r="P30" s="436">
        <v>0</v>
      </c>
    </row>
    <row r="31" spans="1:16" ht="12">
      <c r="A31" s="437" t="s">
        <v>578</v>
      </c>
      <c r="B31" s="435">
        <v>2883228</v>
      </c>
      <c r="C31" s="435">
        <v>3718182</v>
      </c>
      <c r="D31" s="435">
        <v>6601410</v>
      </c>
      <c r="E31" s="435">
        <v>6646292</v>
      </c>
      <c r="F31" s="435">
        <v>131253</v>
      </c>
      <c r="G31" s="435">
        <v>6777545</v>
      </c>
      <c r="H31" s="435">
        <v>-176135</v>
      </c>
      <c r="I31" s="435">
        <v>176135</v>
      </c>
      <c r="J31" s="435">
        <v>568557</v>
      </c>
      <c r="K31" s="435">
        <v>-424579</v>
      </c>
      <c r="L31" s="435">
        <v>207287</v>
      </c>
      <c r="M31" s="435">
        <v>631866</v>
      </c>
      <c r="N31" s="435">
        <v>0</v>
      </c>
      <c r="O31" s="435">
        <v>9878</v>
      </c>
      <c r="P31" s="436">
        <v>22279</v>
      </c>
    </row>
    <row r="32" spans="1:16" ht="12">
      <c r="A32" s="437" t="s">
        <v>579</v>
      </c>
      <c r="B32" s="435">
        <v>1655828</v>
      </c>
      <c r="C32" s="435">
        <v>2465260</v>
      </c>
      <c r="D32" s="435">
        <v>4121088</v>
      </c>
      <c r="E32" s="435">
        <v>4112538</v>
      </c>
      <c r="F32" s="435">
        <v>114243</v>
      </c>
      <c r="G32" s="435">
        <v>4226781</v>
      </c>
      <c r="H32" s="435">
        <v>-105693</v>
      </c>
      <c r="I32" s="435">
        <v>105693</v>
      </c>
      <c r="J32" s="435">
        <v>267914</v>
      </c>
      <c r="K32" s="435">
        <v>-163321</v>
      </c>
      <c r="L32" s="435">
        <v>134900</v>
      </c>
      <c r="M32" s="435">
        <v>298221</v>
      </c>
      <c r="N32" s="435">
        <v>0</v>
      </c>
      <c r="O32" s="435">
        <v>1100</v>
      </c>
      <c r="P32" s="436">
        <v>0</v>
      </c>
    </row>
    <row r="33" spans="1:16" ht="12">
      <c r="A33" s="437" t="s">
        <v>580</v>
      </c>
      <c r="B33" s="435">
        <v>2851969</v>
      </c>
      <c r="C33" s="435">
        <v>3728453</v>
      </c>
      <c r="D33" s="435">
        <v>6580422</v>
      </c>
      <c r="E33" s="435">
        <v>6015965</v>
      </c>
      <c r="F33" s="435">
        <v>147504</v>
      </c>
      <c r="G33" s="435">
        <v>6163469</v>
      </c>
      <c r="H33" s="435">
        <v>416953</v>
      </c>
      <c r="I33" s="435">
        <v>-416953</v>
      </c>
      <c r="J33" s="435">
        <v>37222</v>
      </c>
      <c r="K33" s="435">
        <v>-408520</v>
      </c>
      <c r="L33" s="435">
        <v>126121</v>
      </c>
      <c r="M33" s="435">
        <v>534641</v>
      </c>
      <c r="N33" s="435">
        <v>0</v>
      </c>
      <c r="O33" s="435">
        <v>0</v>
      </c>
      <c r="P33" s="436">
        <v>-45655</v>
      </c>
    </row>
    <row r="34" spans="1:16" ht="12">
      <c r="A34" s="437" t="s">
        <v>581</v>
      </c>
      <c r="B34" s="435">
        <v>2767604</v>
      </c>
      <c r="C34" s="435">
        <v>3191939</v>
      </c>
      <c r="D34" s="435">
        <v>5959543</v>
      </c>
      <c r="E34" s="435">
        <v>5731130</v>
      </c>
      <c r="F34" s="435">
        <v>122602</v>
      </c>
      <c r="G34" s="435">
        <v>5853732</v>
      </c>
      <c r="H34" s="435">
        <v>105811</v>
      </c>
      <c r="I34" s="435">
        <v>-105811</v>
      </c>
      <c r="J34" s="435">
        <v>32664</v>
      </c>
      <c r="K34" s="435">
        <v>-183365</v>
      </c>
      <c r="L34" s="435">
        <v>86262</v>
      </c>
      <c r="M34" s="435">
        <v>269627</v>
      </c>
      <c r="N34" s="435">
        <v>0</v>
      </c>
      <c r="O34" s="435">
        <v>15065</v>
      </c>
      <c r="P34" s="436">
        <v>29825</v>
      </c>
    </row>
    <row r="35" spans="1:16" ht="12">
      <c r="A35" s="437" t="s">
        <v>582</v>
      </c>
      <c r="B35" s="435">
        <v>2865652</v>
      </c>
      <c r="C35" s="435">
        <v>2988320</v>
      </c>
      <c r="D35" s="435">
        <v>5853972</v>
      </c>
      <c r="E35" s="435">
        <v>5730522</v>
      </c>
      <c r="F35" s="435">
        <v>414919</v>
      </c>
      <c r="G35" s="435">
        <v>6145441</v>
      </c>
      <c r="H35" s="435">
        <v>-291469</v>
      </c>
      <c r="I35" s="435">
        <v>291469</v>
      </c>
      <c r="J35" s="435">
        <v>458266</v>
      </c>
      <c r="K35" s="435">
        <v>-166000</v>
      </c>
      <c r="L35" s="435">
        <v>266029</v>
      </c>
      <c r="M35" s="435">
        <v>432029</v>
      </c>
      <c r="N35" s="435">
        <v>0</v>
      </c>
      <c r="O35" s="435">
        <v>0</v>
      </c>
      <c r="P35" s="436">
        <v>-797</v>
      </c>
    </row>
    <row r="36" spans="1:16" ht="12">
      <c r="A36" s="437" t="s">
        <v>583</v>
      </c>
      <c r="B36" s="435">
        <v>1611488</v>
      </c>
      <c r="C36" s="435">
        <v>2548527</v>
      </c>
      <c r="D36" s="435">
        <v>4160015</v>
      </c>
      <c r="E36" s="435">
        <v>3973069</v>
      </c>
      <c r="F36" s="435">
        <v>172661</v>
      </c>
      <c r="G36" s="435">
        <v>4145730</v>
      </c>
      <c r="H36" s="435">
        <v>14285</v>
      </c>
      <c r="I36" s="435">
        <v>-14285</v>
      </c>
      <c r="J36" s="435">
        <v>339477</v>
      </c>
      <c r="K36" s="435">
        <v>-372871</v>
      </c>
      <c r="L36" s="435">
        <v>233433</v>
      </c>
      <c r="M36" s="435">
        <v>606304</v>
      </c>
      <c r="N36" s="435">
        <v>0</v>
      </c>
      <c r="O36" s="435">
        <v>19109</v>
      </c>
      <c r="P36" s="436">
        <v>0</v>
      </c>
    </row>
    <row r="37" spans="1:16" ht="12">
      <c r="A37" s="437" t="s">
        <v>584</v>
      </c>
      <c r="B37" s="435">
        <v>2835775</v>
      </c>
      <c r="C37" s="435">
        <v>3192661</v>
      </c>
      <c r="D37" s="435">
        <v>6028436</v>
      </c>
      <c r="E37" s="435">
        <v>5651894</v>
      </c>
      <c r="F37" s="435">
        <v>249711</v>
      </c>
      <c r="G37" s="435">
        <v>5901605</v>
      </c>
      <c r="H37" s="435">
        <v>126831</v>
      </c>
      <c r="I37" s="435">
        <v>-126831</v>
      </c>
      <c r="J37" s="435">
        <v>31255</v>
      </c>
      <c r="K37" s="435">
        <v>-174993</v>
      </c>
      <c r="L37" s="435">
        <v>213643</v>
      </c>
      <c r="M37" s="435">
        <v>388636</v>
      </c>
      <c r="N37" s="435">
        <v>-2069</v>
      </c>
      <c r="O37" s="435">
        <v>18976</v>
      </c>
      <c r="P37" s="436">
        <v>0</v>
      </c>
    </row>
    <row r="38" spans="1:16" ht="12">
      <c r="A38" s="437" t="s">
        <v>585</v>
      </c>
      <c r="B38" s="435">
        <v>4342934</v>
      </c>
      <c r="C38" s="435">
        <v>2998658</v>
      </c>
      <c r="D38" s="435">
        <v>7341592</v>
      </c>
      <c r="E38" s="435">
        <v>6746920</v>
      </c>
      <c r="F38" s="435">
        <v>256546</v>
      </c>
      <c r="G38" s="435">
        <v>7003466</v>
      </c>
      <c r="H38" s="435">
        <v>338126</v>
      </c>
      <c r="I38" s="435">
        <v>-338126</v>
      </c>
      <c r="J38" s="435">
        <v>-210837</v>
      </c>
      <c r="K38" s="435">
        <v>-113657</v>
      </c>
      <c r="L38" s="435">
        <v>373291</v>
      </c>
      <c r="M38" s="435">
        <v>486948</v>
      </c>
      <c r="N38" s="435">
        <v>-6673</v>
      </c>
      <c r="O38" s="435">
        <v>250</v>
      </c>
      <c r="P38" s="436">
        <v>-7209</v>
      </c>
    </row>
    <row r="39" spans="1:16" ht="12">
      <c r="A39" s="437" t="s">
        <v>586</v>
      </c>
      <c r="B39" s="435">
        <v>1371897</v>
      </c>
      <c r="C39" s="435">
        <v>3403500</v>
      </c>
      <c r="D39" s="435">
        <v>4775397</v>
      </c>
      <c r="E39" s="435">
        <v>4529106</v>
      </c>
      <c r="F39" s="435">
        <v>92507</v>
      </c>
      <c r="G39" s="435">
        <v>4621613</v>
      </c>
      <c r="H39" s="435">
        <v>153784</v>
      </c>
      <c r="I39" s="435">
        <v>-153784</v>
      </c>
      <c r="J39" s="435">
        <v>-93617</v>
      </c>
      <c r="K39" s="435">
        <v>-224051</v>
      </c>
      <c r="L39" s="435">
        <v>170581</v>
      </c>
      <c r="M39" s="435">
        <v>394632</v>
      </c>
      <c r="N39" s="435">
        <v>-1896</v>
      </c>
      <c r="O39" s="435">
        <v>97793</v>
      </c>
      <c r="P39" s="436">
        <v>67987</v>
      </c>
    </row>
    <row r="40" spans="1:16" ht="12">
      <c r="A40" s="437" t="s">
        <v>587</v>
      </c>
      <c r="B40" s="435">
        <v>1525779</v>
      </c>
      <c r="C40" s="435">
        <v>3295490</v>
      </c>
      <c r="D40" s="435">
        <v>4821269</v>
      </c>
      <c r="E40" s="435">
        <v>4553802</v>
      </c>
      <c r="F40" s="435">
        <v>180829</v>
      </c>
      <c r="G40" s="435">
        <v>4734631</v>
      </c>
      <c r="H40" s="435">
        <v>86638</v>
      </c>
      <c r="I40" s="435">
        <v>-86638</v>
      </c>
      <c r="J40" s="435">
        <v>57766</v>
      </c>
      <c r="K40" s="435">
        <v>-142003</v>
      </c>
      <c r="L40" s="435">
        <v>130735</v>
      </c>
      <c r="M40" s="435">
        <v>272738</v>
      </c>
      <c r="N40" s="435">
        <v>-2401</v>
      </c>
      <c r="O40" s="435">
        <v>0</v>
      </c>
      <c r="P40" s="436">
        <v>0</v>
      </c>
    </row>
    <row r="41" spans="1:16" ht="12">
      <c r="A41" s="437" t="s">
        <v>588</v>
      </c>
      <c r="B41" s="435">
        <v>15165988</v>
      </c>
      <c r="C41" s="435">
        <v>5949174</v>
      </c>
      <c r="D41" s="435">
        <v>21115162</v>
      </c>
      <c r="E41" s="435">
        <v>18084518</v>
      </c>
      <c r="F41" s="435">
        <v>2448819</v>
      </c>
      <c r="G41" s="435">
        <v>20533337</v>
      </c>
      <c r="H41" s="435">
        <v>581825</v>
      </c>
      <c r="I41" s="435">
        <v>-581825</v>
      </c>
      <c r="J41" s="435">
        <v>34361</v>
      </c>
      <c r="K41" s="435">
        <v>-718508</v>
      </c>
      <c r="L41" s="435">
        <v>1178478</v>
      </c>
      <c r="M41" s="435">
        <v>1896986</v>
      </c>
      <c r="N41" s="435">
        <v>-25238</v>
      </c>
      <c r="O41" s="435">
        <v>-25540</v>
      </c>
      <c r="P41" s="436">
        <v>153100</v>
      </c>
    </row>
    <row r="42" spans="1:16" ht="12">
      <c r="A42" s="437" t="s">
        <v>589</v>
      </c>
      <c r="B42" s="435">
        <v>2770184</v>
      </c>
      <c r="C42" s="435">
        <v>2878788</v>
      </c>
      <c r="D42" s="435">
        <v>5648972</v>
      </c>
      <c r="E42" s="435">
        <v>5341226</v>
      </c>
      <c r="F42" s="435">
        <v>134362</v>
      </c>
      <c r="G42" s="435">
        <v>5475588</v>
      </c>
      <c r="H42" s="435">
        <v>173384</v>
      </c>
      <c r="I42" s="435">
        <v>-173384</v>
      </c>
      <c r="J42" s="435">
        <v>83958</v>
      </c>
      <c r="K42" s="435">
        <v>-153570</v>
      </c>
      <c r="L42" s="435">
        <v>184591</v>
      </c>
      <c r="M42" s="435">
        <v>338161</v>
      </c>
      <c r="N42" s="435">
        <v>0</v>
      </c>
      <c r="O42" s="435">
        <v>0</v>
      </c>
      <c r="P42" s="436">
        <v>-103772</v>
      </c>
    </row>
    <row r="43" spans="1:16" ht="12">
      <c r="A43" s="437" t="s">
        <v>590</v>
      </c>
      <c r="B43" s="435">
        <v>3473819</v>
      </c>
      <c r="C43" s="435">
        <v>3316063</v>
      </c>
      <c r="D43" s="435">
        <v>6789882</v>
      </c>
      <c r="E43" s="435">
        <v>6587918</v>
      </c>
      <c r="F43" s="435">
        <v>224476</v>
      </c>
      <c r="G43" s="435">
        <v>6812394</v>
      </c>
      <c r="H43" s="435">
        <v>-22512</v>
      </c>
      <c r="I43" s="435">
        <v>22512</v>
      </c>
      <c r="J43" s="435">
        <v>-75720</v>
      </c>
      <c r="K43" s="435">
        <v>-18588</v>
      </c>
      <c r="L43" s="435">
        <v>373141</v>
      </c>
      <c r="M43" s="435">
        <v>391729</v>
      </c>
      <c r="N43" s="435">
        <v>2249</v>
      </c>
      <c r="O43" s="435">
        <v>144335</v>
      </c>
      <c r="P43" s="436">
        <v>-29764</v>
      </c>
    </row>
    <row r="44" spans="1:16" ht="12">
      <c r="A44" s="437" t="s">
        <v>591</v>
      </c>
      <c r="B44" s="435">
        <v>3975112</v>
      </c>
      <c r="C44" s="435">
        <v>3771898</v>
      </c>
      <c r="D44" s="435">
        <v>7747010</v>
      </c>
      <c r="E44" s="435">
        <v>8435136</v>
      </c>
      <c r="F44" s="435">
        <v>166221</v>
      </c>
      <c r="G44" s="435">
        <v>8601357</v>
      </c>
      <c r="H44" s="435">
        <v>-854347</v>
      </c>
      <c r="I44" s="435">
        <v>854347</v>
      </c>
      <c r="J44" s="435">
        <v>786406</v>
      </c>
      <c r="K44" s="435">
        <v>-82662</v>
      </c>
      <c r="L44" s="435">
        <v>444384</v>
      </c>
      <c r="M44" s="435">
        <v>527046</v>
      </c>
      <c r="N44" s="435">
        <v>-4836</v>
      </c>
      <c r="O44" s="435">
        <v>-2500</v>
      </c>
      <c r="P44" s="436">
        <v>157939</v>
      </c>
    </row>
    <row r="45" spans="1:16" ht="12">
      <c r="A45" s="437" t="s">
        <v>592</v>
      </c>
      <c r="B45" s="435">
        <v>2388871</v>
      </c>
      <c r="C45" s="435">
        <v>2252722</v>
      </c>
      <c r="D45" s="435">
        <v>4641593</v>
      </c>
      <c r="E45" s="435">
        <v>4223462</v>
      </c>
      <c r="F45" s="435">
        <v>185386</v>
      </c>
      <c r="G45" s="435">
        <v>4408848</v>
      </c>
      <c r="H45" s="435">
        <v>232745</v>
      </c>
      <c r="I45" s="435">
        <v>-232745</v>
      </c>
      <c r="J45" s="435">
        <v>115390</v>
      </c>
      <c r="K45" s="435">
        <v>-292036</v>
      </c>
      <c r="L45" s="435">
        <v>139839</v>
      </c>
      <c r="M45" s="435">
        <v>431875</v>
      </c>
      <c r="N45" s="435">
        <v>0</v>
      </c>
      <c r="O45" s="435">
        <v>7035</v>
      </c>
      <c r="P45" s="436">
        <v>-63134</v>
      </c>
    </row>
    <row r="46" spans="1:16" ht="12">
      <c r="A46" s="437" t="s">
        <v>593</v>
      </c>
      <c r="B46" s="435">
        <v>6914089</v>
      </c>
      <c r="C46" s="435">
        <v>3820898</v>
      </c>
      <c r="D46" s="435">
        <v>10734987</v>
      </c>
      <c r="E46" s="435">
        <v>9758597</v>
      </c>
      <c r="F46" s="435">
        <v>474681</v>
      </c>
      <c r="G46" s="435">
        <v>10233278</v>
      </c>
      <c r="H46" s="435">
        <v>501709</v>
      </c>
      <c r="I46" s="435">
        <v>-501709</v>
      </c>
      <c r="J46" s="435">
        <v>-691092</v>
      </c>
      <c r="K46" s="435">
        <v>-37720</v>
      </c>
      <c r="L46" s="435">
        <v>275398</v>
      </c>
      <c r="M46" s="435">
        <v>313118</v>
      </c>
      <c r="N46" s="435">
        <v>294130</v>
      </c>
      <c r="O46" s="435">
        <v>46000</v>
      </c>
      <c r="P46" s="436">
        <v>-113027</v>
      </c>
    </row>
    <row r="47" spans="1:16" ht="12">
      <c r="A47" s="437" t="s">
        <v>594</v>
      </c>
      <c r="B47" s="435">
        <v>1220515</v>
      </c>
      <c r="C47" s="435">
        <v>769059</v>
      </c>
      <c r="D47" s="435">
        <v>1989574</v>
      </c>
      <c r="E47" s="435">
        <v>1856203</v>
      </c>
      <c r="F47" s="435">
        <v>95090</v>
      </c>
      <c r="G47" s="435">
        <v>1951293</v>
      </c>
      <c r="H47" s="435">
        <v>38281</v>
      </c>
      <c r="I47" s="435">
        <v>-38281</v>
      </c>
      <c r="J47" s="435">
        <v>-6000</v>
      </c>
      <c r="K47" s="435">
        <v>-32281</v>
      </c>
      <c r="L47" s="435">
        <v>84789</v>
      </c>
      <c r="M47" s="435">
        <v>117070</v>
      </c>
      <c r="N47" s="435">
        <v>0</v>
      </c>
      <c r="O47" s="435">
        <v>0</v>
      </c>
      <c r="P47" s="436">
        <v>0</v>
      </c>
    </row>
    <row r="48" spans="1:16" ht="12.75">
      <c r="A48" s="431" t="s">
        <v>595</v>
      </c>
      <c r="B48" s="435">
        <f aca="true" t="shared" si="1" ref="B48:P48">SUM(B22:B47)</f>
        <v>83264000</v>
      </c>
      <c r="C48" s="435">
        <f t="shared" si="1"/>
        <v>78479000</v>
      </c>
      <c r="D48" s="435">
        <f t="shared" si="1"/>
        <v>161744000</v>
      </c>
      <c r="E48" s="435">
        <f t="shared" si="1"/>
        <v>151845000</v>
      </c>
      <c r="F48" s="435">
        <f t="shared" si="1"/>
        <v>7553000</v>
      </c>
      <c r="G48" s="435">
        <f t="shared" si="1"/>
        <v>159398000</v>
      </c>
      <c r="H48" s="435">
        <f t="shared" si="1"/>
        <v>2346000</v>
      </c>
      <c r="I48" s="435">
        <f t="shared" si="1"/>
        <v>-2346000</v>
      </c>
      <c r="J48" s="435">
        <f t="shared" si="1"/>
        <v>2015000</v>
      </c>
      <c r="K48" s="435">
        <f t="shared" si="1"/>
        <v>-5130000</v>
      </c>
      <c r="L48" s="435">
        <f t="shared" si="1"/>
        <v>6027000</v>
      </c>
      <c r="M48" s="435">
        <f t="shared" si="1"/>
        <v>11158000</v>
      </c>
      <c r="N48" s="435">
        <f t="shared" si="1"/>
        <v>325000</v>
      </c>
      <c r="O48" s="435">
        <f t="shared" si="1"/>
        <v>494000</v>
      </c>
      <c r="P48" s="436">
        <f t="shared" si="1"/>
        <v>-50000</v>
      </c>
    </row>
    <row r="49" spans="1:16" ht="12.75">
      <c r="A49" s="439" t="s">
        <v>596</v>
      </c>
      <c r="B49" s="440">
        <f aca="true" t="shared" si="2" ref="B49:P49">B48+B20</f>
        <v>216099000</v>
      </c>
      <c r="C49" s="440">
        <f t="shared" si="2"/>
        <v>108718000</v>
      </c>
      <c r="D49" s="440">
        <f t="shared" si="2"/>
        <v>324817000</v>
      </c>
      <c r="E49" s="440">
        <f t="shared" si="2"/>
        <v>303208000</v>
      </c>
      <c r="F49" s="440">
        <f t="shared" si="2"/>
        <v>24659000</v>
      </c>
      <c r="G49" s="440">
        <f t="shared" si="2"/>
        <v>327867000</v>
      </c>
      <c r="H49" s="440">
        <f t="shared" si="2"/>
        <v>-3050000</v>
      </c>
      <c r="I49" s="440">
        <f t="shared" si="2"/>
        <v>3050000</v>
      </c>
      <c r="J49" s="440">
        <f t="shared" si="2"/>
        <v>-82000</v>
      </c>
      <c r="K49" s="440">
        <f t="shared" si="2"/>
        <v>-305000</v>
      </c>
      <c r="L49" s="440">
        <f t="shared" si="2"/>
        <v>14091000</v>
      </c>
      <c r="M49" s="440">
        <f t="shared" si="2"/>
        <v>14396000</v>
      </c>
      <c r="N49" s="440">
        <f t="shared" si="2"/>
        <v>325000</v>
      </c>
      <c r="O49" s="440">
        <f t="shared" si="2"/>
        <v>1937000</v>
      </c>
      <c r="P49" s="441">
        <f t="shared" si="2"/>
        <v>1175000</v>
      </c>
    </row>
    <row r="50" spans="1:7" s="443" customFormat="1" ht="12">
      <c r="A50" s="442" t="s">
        <v>597</v>
      </c>
      <c r="G50" s="443" t="s">
        <v>63</v>
      </c>
    </row>
    <row r="51" s="443" customFormat="1" ht="12">
      <c r="A51" s="442" t="s">
        <v>598</v>
      </c>
    </row>
    <row r="52" spans="1:11" s="443" customFormat="1" ht="12">
      <c r="A52" s="444"/>
      <c r="B52" s="368"/>
      <c r="C52" s="368"/>
      <c r="D52" s="368"/>
      <c r="E52" s="368"/>
      <c r="F52" s="368"/>
      <c r="G52" s="368"/>
      <c r="H52" s="368"/>
      <c r="I52" s="368"/>
      <c r="J52" s="368"/>
      <c r="K52" s="368"/>
    </row>
    <row r="53" s="443" customFormat="1" ht="12">
      <c r="A53" s="397"/>
    </row>
    <row r="54" spans="1:12" s="443" customFormat="1" ht="12">
      <c r="A54" s="445"/>
      <c r="B54" s="445"/>
      <c r="C54" s="340"/>
      <c r="D54" s="340"/>
      <c r="E54" s="340"/>
      <c r="F54" s="340"/>
      <c r="H54" s="446"/>
      <c r="I54" s="446"/>
      <c r="J54" s="446"/>
      <c r="K54" s="446"/>
      <c r="L54" s="446"/>
    </row>
    <row r="55" s="448" customFormat="1" ht="11.25">
      <c r="A55" s="447"/>
    </row>
    <row r="58" spans="1:11" s="340" customFormat="1" ht="11.25" customHeight="1">
      <c r="A58" s="449" t="s">
        <v>599</v>
      </c>
      <c r="H58" s="340" t="s">
        <v>600</v>
      </c>
      <c r="K58" s="340" t="s">
        <v>467</v>
      </c>
    </row>
    <row r="59" ht="11.25">
      <c r="A59" s="343"/>
    </row>
    <row r="67" s="313" customFormat="1" ht="11.25">
      <c r="A67" s="347" t="s">
        <v>601</v>
      </c>
    </row>
    <row r="68" ht="11.25">
      <c r="A68" s="450" t="s">
        <v>602</v>
      </c>
    </row>
  </sheetData>
  <printOptions/>
  <pageMargins left="0.25" right="0.25" top="0.6" bottom="0.86" header="0.22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68"/>
  <sheetViews>
    <sheetView showGridLines="0" showZeros="0" workbookViewId="0" topLeftCell="C34">
      <selection activeCell="E47" sqref="E47"/>
    </sheetView>
  </sheetViews>
  <sheetFormatPr defaultColWidth="9.140625" defaultRowHeight="12.75"/>
  <cols>
    <col min="1" max="1" width="20.421875" style="402" customWidth="1"/>
    <col min="2" max="2" width="9.7109375" style="305" customWidth="1"/>
    <col min="3" max="3" width="9.57421875" style="305" customWidth="1"/>
    <col min="4" max="4" width="14.8515625" style="305" customWidth="1"/>
    <col min="5" max="9" width="10.57421875" style="305" customWidth="1"/>
    <col min="10" max="10" width="11.8515625" style="305" customWidth="1"/>
    <col min="11" max="12" width="11.00390625" style="305" customWidth="1"/>
    <col min="13" max="16" width="7.140625" style="305" customWidth="1"/>
    <col min="17" max="16384" width="8.00390625" style="305" customWidth="1"/>
  </cols>
  <sheetData>
    <row r="1" spans="1:12" s="313" customFormat="1" ht="12.75">
      <c r="A1" s="304" t="s">
        <v>603</v>
      </c>
      <c r="B1" s="304"/>
      <c r="C1" s="304"/>
      <c r="D1" s="304"/>
      <c r="E1" s="304"/>
      <c r="F1" s="304"/>
      <c r="G1" s="304"/>
      <c r="H1" s="304"/>
      <c r="I1" s="304"/>
      <c r="J1" s="304"/>
      <c r="K1" s="315"/>
      <c r="L1" s="399" t="s">
        <v>604</v>
      </c>
    </row>
    <row r="2" spans="1:12" s="313" customFormat="1" ht="12.7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15"/>
      <c r="L2" s="399"/>
    </row>
    <row r="3" spans="1:12" s="318" customFormat="1" ht="12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99"/>
    </row>
    <row r="4" spans="1:16" s="407" customFormat="1" ht="15.75">
      <c r="A4" s="405" t="s">
        <v>605</v>
      </c>
      <c r="B4" s="405"/>
      <c r="C4" s="405"/>
      <c r="D4" s="309"/>
      <c r="E4" s="405"/>
      <c r="F4" s="405"/>
      <c r="G4" s="405"/>
      <c r="H4" s="405"/>
      <c r="I4" s="405"/>
      <c r="J4" s="405"/>
      <c r="K4" s="405"/>
      <c r="L4" s="405"/>
      <c r="M4" s="451"/>
      <c r="N4" s="451"/>
      <c r="O4" s="451"/>
      <c r="P4" s="451"/>
    </row>
    <row r="5" spans="1:16" s="407" customFormat="1" ht="15.75">
      <c r="A5" s="405" t="s">
        <v>471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51"/>
      <c r="N5" s="451"/>
      <c r="O5" s="451"/>
      <c r="P5" s="451"/>
    </row>
    <row r="6" spans="1:16" ht="12.75">
      <c r="A6" s="45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s="313" customFormat="1" ht="11.25">
      <c r="A7" s="408"/>
      <c r="B7" s="315"/>
      <c r="C7" s="315"/>
      <c r="D7" s="315"/>
      <c r="E7" s="315"/>
      <c r="F7" s="315"/>
      <c r="G7" s="315"/>
      <c r="H7" s="315"/>
      <c r="I7" s="315"/>
      <c r="J7" s="315"/>
      <c r="K7" s="315" t="s">
        <v>606</v>
      </c>
      <c r="L7" s="315"/>
      <c r="N7" s="315"/>
      <c r="O7" s="315"/>
      <c r="P7" s="315"/>
    </row>
    <row r="8" spans="1:16" s="318" customFormat="1" ht="12.75">
      <c r="A8" s="453"/>
      <c r="B8" s="454"/>
      <c r="C8" s="454"/>
      <c r="D8" s="455"/>
      <c r="E8" s="455"/>
      <c r="F8" s="456" t="s">
        <v>607</v>
      </c>
      <c r="G8" s="415"/>
      <c r="H8" s="415"/>
      <c r="I8" s="457"/>
      <c r="J8" s="415"/>
      <c r="K8" s="415"/>
      <c r="L8" s="458"/>
      <c r="N8" s="304"/>
      <c r="O8" s="304"/>
      <c r="P8" s="304"/>
    </row>
    <row r="9" spans="1:12" s="343" customFormat="1" ht="11.25">
      <c r="A9" s="459"/>
      <c r="B9" s="460"/>
      <c r="C9" s="460"/>
      <c r="D9" s="418"/>
      <c r="E9" s="418"/>
      <c r="F9" s="418"/>
      <c r="G9" s="418"/>
      <c r="H9" s="461" t="s">
        <v>544</v>
      </c>
      <c r="I9" s="462"/>
      <c r="J9" s="418"/>
      <c r="K9" s="418"/>
      <c r="L9" s="463"/>
    </row>
    <row r="10" spans="1:16" ht="45">
      <c r="A10" s="459" t="s">
        <v>608</v>
      </c>
      <c r="B10" s="464" t="s">
        <v>609</v>
      </c>
      <c r="C10" s="464" t="s">
        <v>610</v>
      </c>
      <c r="D10" s="464" t="s">
        <v>611</v>
      </c>
      <c r="E10" s="464" t="s">
        <v>612</v>
      </c>
      <c r="F10" s="464" t="s">
        <v>27</v>
      </c>
      <c r="G10" s="464" t="s">
        <v>613</v>
      </c>
      <c r="H10" s="464" t="s">
        <v>555</v>
      </c>
      <c r="I10" s="464" t="s">
        <v>556</v>
      </c>
      <c r="J10" s="464" t="s">
        <v>37</v>
      </c>
      <c r="K10" s="464" t="s">
        <v>39</v>
      </c>
      <c r="L10" s="465" t="s">
        <v>614</v>
      </c>
      <c r="M10" s="369"/>
      <c r="N10" s="312"/>
      <c r="O10" s="312"/>
      <c r="P10" s="312"/>
    </row>
    <row r="11" spans="1:16" s="313" customFormat="1" ht="11.25">
      <c r="A11" s="466">
        <v>1</v>
      </c>
      <c r="B11" s="467">
        <v>2</v>
      </c>
      <c r="C11" s="467">
        <v>3</v>
      </c>
      <c r="D11" s="467">
        <v>4</v>
      </c>
      <c r="E11" s="467">
        <v>5</v>
      </c>
      <c r="F11" s="467">
        <v>6</v>
      </c>
      <c r="G11" s="467">
        <v>7</v>
      </c>
      <c r="H11" s="467">
        <v>8</v>
      </c>
      <c r="I11" s="467">
        <v>9</v>
      </c>
      <c r="J11" s="467">
        <v>10</v>
      </c>
      <c r="K11" s="467">
        <v>11</v>
      </c>
      <c r="L11" s="468">
        <v>12</v>
      </c>
      <c r="M11" s="347"/>
      <c r="N11" s="315"/>
      <c r="O11" s="315"/>
      <c r="P11" s="315"/>
    </row>
    <row r="12" spans="1:13" ht="12">
      <c r="A12" s="469" t="s">
        <v>560</v>
      </c>
      <c r="B12" s="435">
        <v>7830387</v>
      </c>
      <c r="C12" s="435">
        <v>7352233</v>
      </c>
      <c r="D12" s="435">
        <v>478154</v>
      </c>
      <c r="E12" s="435">
        <v>-478154</v>
      </c>
      <c r="F12" s="435">
        <v>0</v>
      </c>
      <c r="G12" s="435">
        <v>-478154</v>
      </c>
      <c r="H12" s="435">
        <v>3600041</v>
      </c>
      <c r="I12" s="435">
        <v>4078195</v>
      </c>
      <c r="J12" s="435">
        <v>0</v>
      </c>
      <c r="K12" s="435">
        <v>0</v>
      </c>
      <c r="L12" s="436">
        <v>0</v>
      </c>
      <c r="M12" s="470"/>
    </row>
    <row r="13" spans="1:13" ht="12">
      <c r="A13" s="469" t="s">
        <v>561</v>
      </c>
      <c r="B13" s="435">
        <v>1132012</v>
      </c>
      <c r="C13" s="435">
        <v>1095904</v>
      </c>
      <c r="D13" s="435">
        <v>36108</v>
      </c>
      <c r="E13" s="435">
        <v>-36108</v>
      </c>
      <c r="F13" s="435">
        <v>0</v>
      </c>
      <c r="G13" s="435">
        <v>-36108</v>
      </c>
      <c r="H13" s="435">
        <v>36619</v>
      </c>
      <c r="I13" s="435">
        <v>72727</v>
      </c>
      <c r="J13" s="435">
        <v>0</v>
      </c>
      <c r="K13" s="435">
        <v>0</v>
      </c>
      <c r="L13" s="436">
        <v>0</v>
      </c>
      <c r="M13" s="470"/>
    </row>
    <row r="14" spans="1:13" ht="12">
      <c r="A14" s="469" t="s">
        <v>562</v>
      </c>
      <c r="B14" s="435">
        <v>894968</v>
      </c>
      <c r="C14" s="435">
        <v>1058577</v>
      </c>
      <c r="D14" s="435">
        <v>-163609</v>
      </c>
      <c r="E14" s="435">
        <v>163609</v>
      </c>
      <c r="F14" s="435">
        <v>0</v>
      </c>
      <c r="G14" s="435">
        <v>163609</v>
      </c>
      <c r="H14" s="435">
        <v>263775</v>
      </c>
      <c r="I14" s="435">
        <v>100166</v>
      </c>
      <c r="J14" s="435">
        <v>0</v>
      </c>
      <c r="K14" s="435">
        <v>0</v>
      </c>
      <c r="L14" s="436">
        <v>0</v>
      </c>
      <c r="M14" s="470">
        <v>0</v>
      </c>
    </row>
    <row r="15" spans="1:13" ht="12">
      <c r="A15" s="469" t="s">
        <v>563</v>
      </c>
      <c r="B15" s="435">
        <v>2169524</v>
      </c>
      <c r="C15" s="435">
        <v>2367864</v>
      </c>
      <c r="D15" s="435">
        <v>-198340</v>
      </c>
      <c r="E15" s="435">
        <v>198340</v>
      </c>
      <c r="F15" s="435">
        <v>0</v>
      </c>
      <c r="G15" s="435">
        <v>198340</v>
      </c>
      <c r="H15" s="435">
        <v>344938</v>
      </c>
      <c r="I15" s="435">
        <v>146598</v>
      </c>
      <c r="J15" s="435">
        <v>0</v>
      </c>
      <c r="K15" s="435">
        <v>0</v>
      </c>
      <c r="L15" s="436">
        <v>0</v>
      </c>
      <c r="M15" s="470">
        <v>0</v>
      </c>
    </row>
    <row r="16" spans="1:13" ht="12">
      <c r="A16" s="469" t="s">
        <v>564</v>
      </c>
      <c r="B16" s="435">
        <v>1064624</v>
      </c>
      <c r="C16" s="435">
        <v>950119</v>
      </c>
      <c r="D16" s="435">
        <v>114505</v>
      </c>
      <c r="E16" s="435">
        <v>-114505</v>
      </c>
      <c r="F16" s="435">
        <v>0</v>
      </c>
      <c r="G16" s="435">
        <v>-114505</v>
      </c>
      <c r="H16" s="435">
        <v>150617</v>
      </c>
      <c r="I16" s="435">
        <v>265122</v>
      </c>
      <c r="J16" s="435">
        <v>0</v>
      </c>
      <c r="K16" s="435">
        <v>0</v>
      </c>
      <c r="L16" s="436">
        <v>0</v>
      </c>
      <c r="M16" s="470">
        <v>0</v>
      </c>
    </row>
    <row r="17" spans="1:13" ht="12">
      <c r="A17" s="469" t="s">
        <v>565</v>
      </c>
      <c r="B17" s="435">
        <v>308707</v>
      </c>
      <c r="C17" s="435">
        <v>261480</v>
      </c>
      <c r="D17" s="435">
        <v>47227</v>
      </c>
      <c r="E17" s="435">
        <v>-47227</v>
      </c>
      <c r="F17" s="435">
        <v>0</v>
      </c>
      <c r="G17" s="435">
        <v>-47227</v>
      </c>
      <c r="H17" s="435">
        <v>38765</v>
      </c>
      <c r="I17" s="435">
        <v>85992</v>
      </c>
      <c r="J17" s="435">
        <v>0</v>
      </c>
      <c r="K17" s="435">
        <v>0</v>
      </c>
      <c r="L17" s="436">
        <v>0</v>
      </c>
      <c r="M17" s="470">
        <v>0</v>
      </c>
    </row>
    <row r="18" spans="1:13" ht="12">
      <c r="A18" s="469" t="s">
        <v>566</v>
      </c>
      <c r="B18" s="435">
        <v>5608278</v>
      </c>
      <c r="C18" s="435">
        <v>7110770</v>
      </c>
      <c r="D18" s="435">
        <v>-1502492</v>
      </c>
      <c r="E18" s="435">
        <v>1502492</v>
      </c>
      <c r="F18" s="435">
        <v>995000</v>
      </c>
      <c r="G18" s="435">
        <v>507492</v>
      </c>
      <c r="H18" s="435">
        <v>2268757</v>
      </c>
      <c r="I18" s="435">
        <v>1761265</v>
      </c>
      <c r="J18" s="435">
        <v>0</v>
      </c>
      <c r="K18" s="435">
        <v>0</v>
      </c>
      <c r="L18" s="436">
        <v>0</v>
      </c>
      <c r="M18" s="448">
        <v>0</v>
      </c>
    </row>
    <row r="19" spans="1:16" s="473" customFormat="1" ht="12.75">
      <c r="A19" s="471" t="s">
        <v>567</v>
      </c>
      <c r="B19" s="435">
        <f aca="true" t="shared" si="0" ref="B19:L19">SUM(B12:B18)</f>
        <v>19009000</v>
      </c>
      <c r="C19" s="435">
        <f t="shared" si="0"/>
        <v>20197000</v>
      </c>
      <c r="D19" s="435">
        <f t="shared" si="0"/>
        <v>-1188000</v>
      </c>
      <c r="E19" s="435">
        <f t="shared" si="0"/>
        <v>1188000</v>
      </c>
      <c r="F19" s="435">
        <f t="shared" si="0"/>
        <v>995000</v>
      </c>
      <c r="G19" s="435">
        <f t="shared" si="0"/>
        <v>193000</v>
      </c>
      <c r="H19" s="435">
        <f t="shared" si="0"/>
        <v>6704000</v>
      </c>
      <c r="I19" s="435">
        <f t="shared" si="0"/>
        <v>6510000</v>
      </c>
      <c r="J19" s="435">
        <f t="shared" si="0"/>
        <v>0</v>
      </c>
      <c r="K19" s="435">
        <f t="shared" si="0"/>
        <v>0</v>
      </c>
      <c r="L19" s="436">
        <f t="shared" si="0"/>
        <v>0</v>
      </c>
      <c r="M19" s="472">
        <v>0</v>
      </c>
      <c r="N19" s="472"/>
      <c r="O19" s="472"/>
      <c r="P19" s="472"/>
    </row>
    <row r="20" spans="1:13" ht="12">
      <c r="A20" s="469" t="s">
        <v>569</v>
      </c>
      <c r="B20" s="435">
        <v>392582</v>
      </c>
      <c r="C20" s="435">
        <v>460807</v>
      </c>
      <c r="D20" s="435">
        <v>-68225</v>
      </c>
      <c r="E20" s="435">
        <v>68225</v>
      </c>
      <c r="F20" s="435">
        <v>0</v>
      </c>
      <c r="G20" s="435">
        <v>68225</v>
      </c>
      <c r="H20" s="435">
        <v>177557</v>
      </c>
      <c r="I20" s="435">
        <v>109332</v>
      </c>
      <c r="J20" s="435">
        <v>0</v>
      </c>
      <c r="K20" s="435">
        <v>0</v>
      </c>
      <c r="L20" s="436">
        <v>0</v>
      </c>
      <c r="M20" s="470">
        <v>0</v>
      </c>
    </row>
    <row r="21" spans="1:13" ht="12">
      <c r="A21" s="469" t="s">
        <v>570</v>
      </c>
      <c r="B21" s="435">
        <v>462316</v>
      </c>
      <c r="C21" s="435">
        <v>485169</v>
      </c>
      <c r="D21" s="435">
        <v>-22853</v>
      </c>
      <c r="E21" s="435">
        <v>22853</v>
      </c>
      <c r="F21" s="435">
        <v>16000</v>
      </c>
      <c r="G21" s="435">
        <v>-11147</v>
      </c>
      <c r="H21" s="435">
        <v>207851</v>
      </c>
      <c r="I21" s="435">
        <v>218998</v>
      </c>
      <c r="J21" s="435">
        <v>0</v>
      </c>
      <c r="K21" s="435">
        <v>18000</v>
      </c>
      <c r="L21" s="436">
        <v>0</v>
      </c>
      <c r="M21" s="470"/>
    </row>
    <row r="22" spans="1:13" ht="12">
      <c r="A22" s="469" t="s">
        <v>571</v>
      </c>
      <c r="B22" s="435">
        <v>479993</v>
      </c>
      <c r="C22" s="435">
        <v>602638</v>
      </c>
      <c r="D22" s="435">
        <v>-122645</v>
      </c>
      <c r="E22" s="435">
        <v>122645</v>
      </c>
      <c r="F22" s="435">
        <v>0</v>
      </c>
      <c r="G22" s="435">
        <v>122645</v>
      </c>
      <c r="H22" s="435">
        <v>207209</v>
      </c>
      <c r="I22" s="435">
        <v>84564</v>
      </c>
      <c r="J22" s="435">
        <v>0</v>
      </c>
      <c r="K22" s="435">
        <v>0</v>
      </c>
      <c r="L22" s="436">
        <v>0</v>
      </c>
      <c r="M22" s="470"/>
    </row>
    <row r="23" spans="1:13" ht="12">
      <c r="A23" s="469" t="s">
        <v>572</v>
      </c>
      <c r="B23" s="435">
        <v>459655</v>
      </c>
      <c r="C23" s="435">
        <v>563873</v>
      </c>
      <c r="D23" s="435">
        <v>-104218</v>
      </c>
      <c r="E23" s="435">
        <v>104218</v>
      </c>
      <c r="F23" s="435">
        <v>0</v>
      </c>
      <c r="G23" s="435">
        <v>104218</v>
      </c>
      <c r="H23" s="435">
        <v>214081</v>
      </c>
      <c r="I23" s="435">
        <v>109863</v>
      </c>
      <c r="J23" s="435">
        <v>0</v>
      </c>
      <c r="K23" s="435">
        <v>0</v>
      </c>
      <c r="L23" s="436">
        <v>0</v>
      </c>
      <c r="M23" s="470"/>
    </row>
    <row r="24" spans="1:13" ht="12">
      <c r="A24" s="469" t="s">
        <v>573</v>
      </c>
      <c r="B24" s="435">
        <v>766009</v>
      </c>
      <c r="C24" s="435">
        <v>901328</v>
      </c>
      <c r="D24" s="435">
        <v>-135319</v>
      </c>
      <c r="E24" s="435">
        <v>135319</v>
      </c>
      <c r="F24" s="435">
        <v>-550</v>
      </c>
      <c r="G24" s="435">
        <v>135869</v>
      </c>
      <c r="H24" s="435">
        <v>300636</v>
      </c>
      <c r="I24" s="435">
        <v>164767</v>
      </c>
      <c r="J24" s="435">
        <v>0</v>
      </c>
      <c r="K24" s="435">
        <v>0</v>
      </c>
      <c r="L24" s="436">
        <v>0</v>
      </c>
      <c r="M24" s="470"/>
    </row>
    <row r="25" spans="1:13" ht="12">
      <c r="A25" s="469" t="s">
        <v>574</v>
      </c>
      <c r="B25" s="435">
        <v>672425</v>
      </c>
      <c r="C25" s="435">
        <v>745765</v>
      </c>
      <c r="D25" s="435">
        <v>-73340</v>
      </c>
      <c r="E25" s="435">
        <v>73340</v>
      </c>
      <c r="F25" s="435">
        <v>0</v>
      </c>
      <c r="G25" s="435">
        <v>73340</v>
      </c>
      <c r="H25" s="435">
        <v>173160</v>
      </c>
      <c r="I25" s="435">
        <v>99820</v>
      </c>
      <c r="J25" s="435">
        <v>0</v>
      </c>
      <c r="K25" s="435">
        <v>0</v>
      </c>
      <c r="L25" s="436">
        <v>0</v>
      </c>
      <c r="M25" s="470"/>
    </row>
    <row r="26" spans="1:13" ht="12">
      <c r="A26" s="469" t="s">
        <v>575</v>
      </c>
      <c r="B26" s="435">
        <v>454582</v>
      </c>
      <c r="C26" s="435">
        <v>573404</v>
      </c>
      <c r="D26" s="435">
        <v>-118822</v>
      </c>
      <c r="E26" s="435">
        <v>118822</v>
      </c>
      <c r="F26" s="435">
        <v>0</v>
      </c>
      <c r="G26" s="435">
        <v>118822</v>
      </c>
      <c r="H26" s="435">
        <v>250003</v>
      </c>
      <c r="I26" s="435">
        <v>131181</v>
      </c>
      <c r="J26" s="435">
        <v>0</v>
      </c>
      <c r="K26" s="435">
        <v>0</v>
      </c>
      <c r="L26" s="436">
        <v>0</v>
      </c>
      <c r="M26" s="470"/>
    </row>
    <row r="27" spans="1:13" ht="12">
      <c r="A27" s="469" t="s">
        <v>576</v>
      </c>
      <c r="B27" s="435">
        <v>372466</v>
      </c>
      <c r="C27" s="435">
        <v>403363</v>
      </c>
      <c r="D27" s="435">
        <v>-30897</v>
      </c>
      <c r="E27" s="435">
        <v>30897</v>
      </c>
      <c r="F27" s="435">
        <v>1561</v>
      </c>
      <c r="G27" s="435">
        <v>29336</v>
      </c>
      <c r="H27" s="435">
        <v>115567</v>
      </c>
      <c r="I27" s="435">
        <v>86231</v>
      </c>
      <c r="J27" s="435">
        <v>0</v>
      </c>
      <c r="K27" s="435">
        <v>0</v>
      </c>
      <c r="L27" s="436">
        <v>0</v>
      </c>
      <c r="M27" s="470"/>
    </row>
    <row r="28" spans="1:13" ht="12">
      <c r="A28" s="469" t="s">
        <v>577</v>
      </c>
      <c r="B28" s="435">
        <v>780078</v>
      </c>
      <c r="C28" s="435">
        <v>760654</v>
      </c>
      <c r="D28" s="435">
        <v>19424</v>
      </c>
      <c r="E28" s="435">
        <v>-19424</v>
      </c>
      <c r="F28" s="435">
        <v>0</v>
      </c>
      <c r="G28" s="435">
        <v>18355</v>
      </c>
      <c r="H28" s="435">
        <v>199657</v>
      </c>
      <c r="I28" s="435">
        <v>181302</v>
      </c>
      <c r="J28" s="435">
        <v>-37779</v>
      </c>
      <c r="K28" s="435">
        <v>0</v>
      </c>
      <c r="L28" s="436">
        <v>0</v>
      </c>
      <c r="M28" s="470"/>
    </row>
    <row r="29" spans="1:13" ht="12">
      <c r="A29" s="469" t="s">
        <v>578</v>
      </c>
      <c r="B29" s="435">
        <v>685112</v>
      </c>
      <c r="C29" s="435">
        <v>720911</v>
      </c>
      <c r="D29" s="435">
        <v>-35799</v>
      </c>
      <c r="E29" s="435">
        <v>35799</v>
      </c>
      <c r="F29" s="435">
        <v>0</v>
      </c>
      <c r="G29" s="435">
        <v>35799</v>
      </c>
      <c r="H29" s="435">
        <v>170686</v>
      </c>
      <c r="I29" s="435">
        <v>134887</v>
      </c>
      <c r="J29" s="435">
        <v>0</v>
      </c>
      <c r="K29" s="435">
        <v>0</v>
      </c>
      <c r="L29" s="436">
        <v>0</v>
      </c>
      <c r="M29" s="470"/>
    </row>
    <row r="30" spans="1:13" ht="12">
      <c r="A30" s="469" t="s">
        <v>579</v>
      </c>
      <c r="B30" s="435">
        <v>659306</v>
      </c>
      <c r="C30" s="435">
        <v>775765</v>
      </c>
      <c r="D30" s="435">
        <v>-116459</v>
      </c>
      <c r="E30" s="435">
        <v>116459</v>
      </c>
      <c r="F30" s="435">
        <v>0</v>
      </c>
      <c r="G30" s="435">
        <v>116459</v>
      </c>
      <c r="H30" s="435">
        <v>256279</v>
      </c>
      <c r="I30" s="435">
        <v>139820</v>
      </c>
      <c r="J30" s="435">
        <v>0</v>
      </c>
      <c r="K30" s="435">
        <v>0</v>
      </c>
      <c r="L30" s="436">
        <v>0</v>
      </c>
      <c r="M30" s="470"/>
    </row>
    <row r="31" spans="1:13" ht="12">
      <c r="A31" s="469" t="s">
        <v>580</v>
      </c>
      <c r="B31" s="435">
        <v>1157457</v>
      </c>
      <c r="C31" s="435">
        <v>1194714</v>
      </c>
      <c r="D31" s="435">
        <v>-37257</v>
      </c>
      <c r="E31" s="435">
        <v>37257</v>
      </c>
      <c r="F31" s="435">
        <v>-25802</v>
      </c>
      <c r="G31" s="435">
        <v>63059</v>
      </c>
      <c r="H31" s="435">
        <v>272963</v>
      </c>
      <c r="I31" s="435">
        <v>209904</v>
      </c>
      <c r="J31" s="435">
        <v>0</v>
      </c>
      <c r="K31" s="435">
        <v>0</v>
      </c>
      <c r="L31" s="436">
        <v>0</v>
      </c>
      <c r="M31" s="470"/>
    </row>
    <row r="32" spans="1:13" ht="12">
      <c r="A32" s="469" t="s">
        <v>581</v>
      </c>
      <c r="B32" s="435">
        <v>870507</v>
      </c>
      <c r="C32" s="435">
        <v>955962</v>
      </c>
      <c r="D32" s="435">
        <v>-85455</v>
      </c>
      <c r="E32" s="435">
        <v>85455</v>
      </c>
      <c r="F32" s="435">
        <v>0</v>
      </c>
      <c r="G32" s="435">
        <v>89895</v>
      </c>
      <c r="H32" s="435">
        <v>229569</v>
      </c>
      <c r="I32" s="435">
        <v>139674</v>
      </c>
      <c r="J32" s="435">
        <v>0</v>
      </c>
      <c r="K32" s="435">
        <v>-4440</v>
      </c>
      <c r="L32" s="436">
        <v>0</v>
      </c>
      <c r="M32" s="470"/>
    </row>
    <row r="33" spans="1:13" ht="12">
      <c r="A33" s="469" t="s">
        <v>582</v>
      </c>
      <c r="B33" s="435">
        <v>676055</v>
      </c>
      <c r="C33" s="435">
        <v>799614</v>
      </c>
      <c r="D33" s="435">
        <v>-123559</v>
      </c>
      <c r="E33" s="435">
        <v>123559</v>
      </c>
      <c r="F33" s="435">
        <v>0</v>
      </c>
      <c r="G33" s="435">
        <v>123559</v>
      </c>
      <c r="H33" s="435">
        <v>310507</v>
      </c>
      <c r="I33" s="435">
        <v>186948</v>
      </c>
      <c r="J33" s="435">
        <v>0</v>
      </c>
      <c r="K33" s="435">
        <v>0</v>
      </c>
      <c r="L33" s="436">
        <v>0</v>
      </c>
      <c r="M33" s="470"/>
    </row>
    <row r="34" spans="1:13" ht="12">
      <c r="A34" s="469" t="s">
        <v>583</v>
      </c>
      <c r="B34" s="435">
        <v>467276</v>
      </c>
      <c r="C34" s="435">
        <v>652233</v>
      </c>
      <c r="D34" s="435">
        <v>-184957</v>
      </c>
      <c r="E34" s="435">
        <v>184957</v>
      </c>
      <c r="F34" s="435">
        <v>19390</v>
      </c>
      <c r="G34" s="435">
        <v>165567</v>
      </c>
      <c r="H34" s="435">
        <v>308338</v>
      </c>
      <c r="I34" s="435">
        <v>142771</v>
      </c>
      <c r="J34" s="435">
        <v>0</v>
      </c>
      <c r="K34" s="435">
        <v>0</v>
      </c>
      <c r="L34" s="436">
        <v>0</v>
      </c>
      <c r="M34" s="470"/>
    </row>
    <row r="35" spans="1:13" ht="12">
      <c r="A35" s="469" t="s">
        <v>584</v>
      </c>
      <c r="B35" s="435">
        <v>579273</v>
      </c>
      <c r="C35" s="435">
        <v>671694</v>
      </c>
      <c r="D35" s="435">
        <v>-92421</v>
      </c>
      <c r="E35" s="435">
        <v>92421</v>
      </c>
      <c r="F35" s="435">
        <v>-7750</v>
      </c>
      <c r="G35" s="435">
        <v>100171</v>
      </c>
      <c r="H35" s="435">
        <v>251097</v>
      </c>
      <c r="I35" s="435">
        <v>150926</v>
      </c>
      <c r="J35" s="435">
        <v>0</v>
      </c>
      <c r="K35" s="435">
        <v>0</v>
      </c>
      <c r="L35" s="436">
        <v>0</v>
      </c>
      <c r="M35" s="470"/>
    </row>
    <row r="36" spans="1:13" ht="12">
      <c r="A36" s="469" t="s">
        <v>585</v>
      </c>
      <c r="B36" s="435">
        <v>775829</v>
      </c>
      <c r="C36" s="435">
        <v>866779</v>
      </c>
      <c r="D36" s="435">
        <v>-90950</v>
      </c>
      <c r="E36" s="435">
        <v>90950</v>
      </c>
      <c r="F36" s="435">
        <v>0</v>
      </c>
      <c r="G36" s="435">
        <v>91550</v>
      </c>
      <c r="H36" s="435">
        <v>325801</v>
      </c>
      <c r="I36" s="435">
        <v>234251</v>
      </c>
      <c r="J36" s="435">
        <v>0</v>
      </c>
      <c r="K36" s="435">
        <v>-600</v>
      </c>
      <c r="L36" s="436">
        <v>0</v>
      </c>
      <c r="M36" s="470"/>
    </row>
    <row r="37" spans="1:13" ht="12">
      <c r="A37" s="469" t="s">
        <v>586</v>
      </c>
      <c r="B37" s="435">
        <v>843186</v>
      </c>
      <c r="C37" s="435">
        <v>891759</v>
      </c>
      <c r="D37" s="435">
        <v>-48573</v>
      </c>
      <c r="E37" s="435">
        <v>48573</v>
      </c>
      <c r="F37" s="435">
        <v>0</v>
      </c>
      <c r="G37" s="435">
        <v>48573</v>
      </c>
      <c r="H37" s="435">
        <v>167000</v>
      </c>
      <c r="I37" s="435">
        <v>118970</v>
      </c>
      <c r="J37" s="435">
        <v>0</v>
      </c>
      <c r="K37" s="435">
        <v>0</v>
      </c>
      <c r="L37" s="436">
        <v>0</v>
      </c>
      <c r="M37" s="470"/>
    </row>
    <row r="38" spans="1:13" ht="12">
      <c r="A38" s="469" t="s">
        <v>587</v>
      </c>
      <c r="B38" s="435">
        <v>347799</v>
      </c>
      <c r="C38" s="435">
        <v>405559</v>
      </c>
      <c r="D38" s="435">
        <v>-57760</v>
      </c>
      <c r="E38" s="435">
        <v>57760</v>
      </c>
      <c r="F38" s="435">
        <v>0</v>
      </c>
      <c r="G38" s="435">
        <v>57760</v>
      </c>
      <c r="H38" s="435">
        <v>194456</v>
      </c>
      <c r="I38" s="435">
        <v>136696</v>
      </c>
      <c r="J38" s="435">
        <v>0</v>
      </c>
      <c r="K38" s="435">
        <v>0</v>
      </c>
      <c r="L38" s="436">
        <v>0</v>
      </c>
      <c r="M38" s="470"/>
    </row>
    <row r="39" spans="1:13" ht="12">
      <c r="A39" s="469" t="s">
        <v>588</v>
      </c>
      <c r="B39" s="435">
        <v>2094016</v>
      </c>
      <c r="C39" s="435">
        <v>2260856</v>
      </c>
      <c r="D39" s="435">
        <v>-166840</v>
      </c>
      <c r="E39" s="435">
        <v>166840</v>
      </c>
      <c r="F39" s="435">
        <v>0</v>
      </c>
      <c r="G39" s="435">
        <v>166840</v>
      </c>
      <c r="H39" s="435">
        <v>588844</v>
      </c>
      <c r="I39" s="435">
        <v>422004</v>
      </c>
      <c r="J39" s="435">
        <v>0</v>
      </c>
      <c r="K39" s="435">
        <v>0</v>
      </c>
      <c r="L39" s="436">
        <v>0</v>
      </c>
      <c r="M39" s="470"/>
    </row>
    <row r="40" spans="1:13" ht="12">
      <c r="A40" s="469" t="s">
        <v>589</v>
      </c>
      <c r="B40" s="435">
        <v>425783</v>
      </c>
      <c r="C40" s="435">
        <v>499319</v>
      </c>
      <c r="D40" s="435">
        <v>-73536</v>
      </c>
      <c r="E40" s="435">
        <v>73536</v>
      </c>
      <c r="F40" s="435">
        <v>-1000</v>
      </c>
      <c r="G40" s="435">
        <v>74536</v>
      </c>
      <c r="H40" s="435">
        <v>293897</v>
      </c>
      <c r="I40" s="435">
        <v>219361</v>
      </c>
      <c r="J40" s="435">
        <v>0</v>
      </c>
      <c r="K40" s="435">
        <v>0</v>
      </c>
      <c r="L40" s="436">
        <v>0</v>
      </c>
      <c r="M40" s="470"/>
    </row>
    <row r="41" spans="1:13" ht="12">
      <c r="A41" s="469" t="s">
        <v>590</v>
      </c>
      <c r="B41" s="435">
        <v>993359</v>
      </c>
      <c r="C41" s="435">
        <v>1072746</v>
      </c>
      <c r="D41" s="435">
        <v>-79387</v>
      </c>
      <c r="E41" s="435">
        <v>79387</v>
      </c>
      <c r="F41" s="435">
        <v>0</v>
      </c>
      <c r="G41" s="435">
        <v>79387</v>
      </c>
      <c r="H41" s="435">
        <v>267925</v>
      </c>
      <c r="I41" s="435">
        <v>188538</v>
      </c>
      <c r="J41" s="435">
        <v>0</v>
      </c>
      <c r="K41" s="435">
        <v>0</v>
      </c>
      <c r="L41" s="436">
        <v>0</v>
      </c>
      <c r="M41" s="470"/>
    </row>
    <row r="42" spans="1:13" ht="12">
      <c r="A42" s="469" t="s">
        <v>591</v>
      </c>
      <c r="B42" s="435">
        <v>844817</v>
      </c>
      <c r="C42" s="435">
        <v>815191</v>
      </c>
      <c r="D42" s="435">
        <v>29626</v>
      </c>
      <c r="E42" s="435">
        <v>-29626</v>
      </c>
      <c r="F42" s="435">
        <v>24500</v>
      </c>
      <c r="G42" s="435">
        <v>-54126</v>
      </c>
      <c r="H42" s="435">
        <v>205056</v>
      </c>
      <c r="I42" s="435">
        <v>259182</v>
      </c>
      <c r="J42" s="435">
        <v>0</v>
      </c>
      <c r="K42" s="435">
        <v>0</v>
      </c>
      <c r="L42" s="436">
        <v>0</v>
      </c>
      <c r="M42" s="470"/>
    </row>
    <row r="43" spans="1:13" ht="12">
      <c r="A43" s="469" t="s">
        <v>592</v>
      </c>
      <c r="B43" s="435">
        <v>383400</v>
      </c>
      <c r="C43" s="435">
        <v>451264</v>
      </c>
      <c r="D43" s="435">
        <v>-67864</v>
      </c>
      <c r="E43" s="435">
        <v>67864</v>
      </c>
      <c r="F43" s="435">
        <v>0</v>
      </c>
      <c r="G43" s="435">
        <v>67864</v>
      </c>
      <c r="H43" s="435">
        <v>143314</v>
      </c>
      <c r="I43" s="435">
        <v>75450</v>
      </c>
      <c r="J43" s="435">
        <v>0</v>
      </c>
      <c r="K43" s="435">
        <v>0</v>
      </c>
      <c r="L43" s="436">
        <v>0</v>
      </c>
      <c r="M43" s="470"/>
    </row>
    <row r="44" spans="1:13" ht="12">
      <c r="A44" s="469" t="s">
        <v>593</v>
      </c>
      <c r="B44" s="435">
        <v>526271</v>
      </c>
      <c r="C44" s="435">
        <v>659187</v>
      </c>
      <c r="D44" s="435">
        <v>-132916</v>
      </c>
      <c r="E44" s="435">
        <v>132916</v>
      </c>
      <c r="F44" s="435">
        <v>0</v>
      </c>
      <c r="G44" s="435">
        <v>132916</v>
      </c>
      <c r="H44" s="435">
        <v>283199</v>
      </c>
      <c r="I44" s="435">
        <v>150283</v>
      </c>
      <c r="J44" s="435">
        <v>0</v>
      </c>
      <c r="K44" s="435">
        <v>0</v>
      </c>
      <c r="L44" s="436">
        <v>0</v>
      </c>
      <c r="M44" s="470"/>
    </row>
    <row r="45" spans="1:13" ht="12">
      <c r="A45" s="469" t="s">
        <v>594</v>
      </c>
      <c r="B45" s="435">
        <v>449720</v>
      </c>
      <c r="C45" s="435">
        <v>569906</v>
      </c>
      <c r="D45" s="435">
        <v>-120186</v>
      </c>
      <c r="E45" s="435">
        <v>120186</v>
      </c>
      <c r="F45" s="435">
        <v>0</v>
      </c>
      <c r="G45" s="435">
        <v>120186</v>
      </c>
      <c r="H45" s="435">
        <v>320307</v>
      </c>
      <c r="I45" s="435">
        <v>200121</v>
      </c>
      <c r="J45" s="435">
        <v>0</v>
      </c>
      <c r="K45" s="435">
        <v>0</v>
      </c>
      <c r="L45" s="436">
        <v>0</v>
      </c>
      <c r="M45" s="470"/>
    </row>
    <row r="46" spans="1:12" ht="12.75">
      <c r="A46" s="471" t="s">
        <v>595</v>
      </c>
      <c r="B46" s="435">
        <f aca="true" t="shared" si="1" ref="B46:L46">SUM(B20:B45)</f>
        <v>17619000</v>
      </c>
      <c r="C46" s="435">
        <f t="shared" si="1"/>
        <v>19760000</v>
      </c>
      <c r="D46" s="435">
        <f t="shared" si="1"/>
        <v>-2141000</v>
      </c>
      <c r="E46" s="435">
        <f t="shared" si="1"/>
        <v>2141000</v>
      </c>
      <c r="F46" s="435">
        <f t="shared" si="1"/>
        <v>26000</v>
      </c>
      <c r="G46" s="435">
        <f t="shared" si="1"/>
        <v>2140000</v>
      </c>
      <c r="H46" s="435">
        <f t="shared" si="1"/>
        <v>6435000</v>
      </c>
      <c r="I46" s="435">
        <f t="shared" si="1"/>
        <v>4296000</v>
      </c>
      <c r="J46" s="435">
        <f t="shared" si="1"/>
        <v>-38000</v>
      </c>
      <c r="K46" s="435">
        <f t="shared" si="1"/>
        <v>13000</v>
      </c>
      <c r="L46" s="436">
        <f t="shared" si="1"/>
        <v>0</v>
      </c>
    </row>
    <row r="47" spans="1:12" ht="12.75">
      <c r="A47" s="474" t="s">
        <v>596</v>
      </c>
      <c r="B47" s="440">
        <f aca="true" t="shared" si="2" ref="B47:L47">SUM(B46,B19)</f>
        <v>36628000</v>
      </c>
      <c r="C47" s="440">
        <f t="shared" si="2"/>
        <v>39957000</v>
      </c>
      <c r="D47" s="440">
        <f t="shared" si="2"/>
        <v>-3329000</v>
      </c>
      <c r="E47" s="440">
        <f t="shared" si="2"/>
        <v>3329000</v>
      </c>
      <c r="F47" s="440">
        <f t="shared" si="2"/>
        <v>1021000</v>
      </c>
      <c r="G47" s="440">
        <f t="shared" si="2"/>
        <v>2333000</v>
      </c>
      <c r="H47" s="440">
        <f t="shared" si="2"/>
        <v>13139000</v>
      </c>
      <c r="I47" s="440">
        <f t="shared" si="2"/>
        <v>10806000</v>
      </c>
      <c r="J47" s="440">
        <f t="shared" si="2"/>
        <v>-38000</v>
      </c>
      <c r="K47" s="440">
        <f t="shared" si="2"/>
        <v>13000</v>
      </c>
      <c r="L47" s="441">
        <f t="shared" si="2"/>
        <v>0</v>
      </c>
    </row>
    <row r="48" s="443" customFormat="1" ht="12">
      <c r="A48" s="442" t="s">
        <v>615</v>
      </c>
    </row>
    <row r="53" spans="1:11" s="340" customFormat="1" ht="11.25" customHeight="1">
      <c r="A53" s="449" t="s">
        <v>466</v>
      </c>
      <c r="H53" s="340" t="s">
        <v>600</v>
      </c>
      <c r="K53" s="340" t="s">
        <v>467</v>
      </c>
    </row>
    <row r="54" spans="1:16" s="443" customFormat="1" ht="12">
      <c r="A54" s="475"/>
      <c r="B54" s="365"/>
      <c r="C54" s="340"/>
      <c r="D54" s="365"/>
      <c r="E54" s="365"/>
      <c r="F54" s="365"/>
      <c r="G54" s="340"/>
      <c r="H54" s="446"/>
      <c r="I54" s="365"/>
      <c r="J54" s="365"/>
      <c r="K54" s="365"/>
      <c r="L54" s="365"/>
      <c r="M54" s="365"/>
      <c r="N54" s="365"/>
      <c r="O54" s="365"/>
      <c r="P54" s="365"/>
    </row>
    <row r="55" spans="1:8" s="479" customFormat="1" ht="11.25">
      <c r="A55" s="476"/>
      <c r="B55" s="477"/>
      <c r="C55" s="305"/>
      <c r="D55" s="478"/>
      <c r="E55" s="305"/>
      <c r="F55" s="478"/>
      <c r="G55" s="478"/>
      <c r="H55" s="305"/>
    </row>
    <row r="56" spans="1:9" s="448" customFormat="1" ht="12.75">
      <c r="A56" s="397"/>
      <c r="B56" s="480"/>
      <c r="C56" s="305"/>
      <c r="D56" s="481"/>
      <c r="E56" s="481"/>
      <c r="G56" s="482"/>
      <c r="I56" s="443"/>
    </row>
    <row r="57" spans="1:16" s="443" customFormat="1" ht="12">
      <c r="A57" s="475"/>
      <c r="B57" s="365"/>
      <c r="C57" s="340"/>
      <c r="D57" s="365"/>
      <c r="E57" s="365"/>
      <c r="F57" s="365"/>
      <c r="G57" s="340"/>
      <c r="H57" s="446"/>
      <c r="I57" s="365"/>
      <c r="J57" s="365"/>
      <c r="K57" s="365"/>
      <c r="L57" s="365"/>
      <c r="M57" s="365"/>
      <c r="N57" s="365"/>
      <c r="O57" s="365"/>
      <c r="P57" s="365"/>
    </row>
    <row r="58" s="448" customFormat="1" ht="11.25">
      <c r="A58" s="447"/>
    </row>
    <row r="59" spans="1:6" s="448" customFormat="1" ht="11.25">
      <c r="A59" s="447"/>
      <c r="B59" s="305"/>
      <c r="C59" s="305"/>
      <c r="D59" s="305"/>
      <c r="E59" s="305"/>
      <c r="F59" s="305"/>
    </row>
    <row r="67" s="347" customFormat="1" ht="11.25">
      <c r="A67" s="347" t="s">
        <v>134</v>
      </c>
    </row>
    <row r="68" ht="11.25">
      <c r="A68" s="450" t="s">
        <v>602</v>
      </c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">
      <selection activeCell="E47" sqref="E47"/>
    </sheetView>
  </sheetViews>
  <sheetFormatPr defaultColWidth="9.140625" defaultRowHeight="12.75"/>
  <cols>
    <col min="1" max="1" width="64.8515625" style="305" customWidth="1"/>
    <col min="2" max="2" width="19.140625" style="305" customWidth="1"/>
    <col min="3" max="16384" width="8.00390625" style="305" customWidth="1"/>
  </cols>
  <sheetData>
    <row r="1" spans="1:4" s="313" customFormat="1" ht="12.75">
      <c r="A1" s="318" t="s">
        <v>616</v>
      </c>
      <c r="B1" s="318" t="s">
        <v>617</v>
      </c>
      <c r="D1" s="479"/>
    </row>
    <row r="2" spans="1:2" s="313" customFormat="1" ht="12.75">
      <c r="A2" s="318"/>
      <c r="B2" s="318"/>
    </row>
    <row r="3" s="340" customFormat="1" ht="12"/>
    <row r="4" s="340" customFormat="1" ht="15.75">
      <c r="A4" s="407" t="s">
        <v>618</v>
      </c>
    </row>
    <row r="5" s="340" customFormat="1" ht="15.75">
      <c r="A5" s="483" t="s">
        <v>619</v>
      </c>
    </row>
    <row r="6" spans="1:2" s="340" customFormat="1" ht="12">
      <c r="A6" s="479"/>
      <c r="B6" s="479"/>
    </row>
    <row r="7" spans="1:2" s="340" customFormat="1" ht="12">
      <c r="A7" s="484"/>
      <c r="B7" s="485" t="s">
        <v>620</v>
      </c>
    </row>
    <row r="8" spans="1:2" s="340" customFormat="1" ht="12.75">
      <c r="A8" s="486" t="s">
        <v>2</v>
      </c>
      <c r="B8" s="487" t="s">
        <v>621</v>
      </c>
    </row>
    <row r="9" spans="1:127" s="490" customFormat="1" ht="12.75">
      <c r="A9" s="488">
        <v>1</v>
      </c>
      <c r="B9" s="489">
        <v>2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</row>
    <row r="10" spans="1:127" s="490" customFormat="1" ht="23.25" customHeight="1">
      <c r="A10" s="491" t="s">
        <v>622</v>
      </c>
      <c r="B10" s="492">
        <f>SUM(B11:B16)</f>
        <v>25135519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</row>
    <row r="11" spans="1:127" s="490" customFormat="1" ht="23.25" customHeight="1">
      <c r="A11" s="493" t="s">
        <v>623</v>
      </c>
      <c r="B11" s="494">
        <v>9182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</row>
    <row r="12" spans="1:127" s="490" customFormat="1" ht="19.5" customHeight="1">
      <c r="A12" s="495" t="s">
        <v>624</v>
      </c>
      <c r="B12" s="496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</row>
    <row r="13" spans="1:127" s="490" customFormat="1" ht="17.25" customHeight="1">
      <c r="A13" s="497" t="s">
        <v>625</v>
      </c>
      <c r="B13" s="498">
        <v>170000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</row>
    <row r="14" spans="1:127" s="490" customFormat="1" ht="23.25" customHeight="1">
      <c r="A14" s="493" t="s">
        <v>626</v>
      </c>
      <c r="B14" s="494">
        <v>5085842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</row>
    <row r="15" spans="1:127" s="490" customFormat="1" ht="23.25" customHeight="1">
      <c r="A15" s="493" t="s">
        <v>627</v>
      </c>
      <c r="B15" s="494">
        <v>19870495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</row>
    <row r="16" spans="1:127" s="490" customFormat="1" ht="23.25" customHeight="1">
      <c r="A16" s="493" t="s">
        <v>628</v>
      </c>
      <c r="B16" s="494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</row>
    <row r="17" spans="1:127" s="490" customFormat="1" ht="23.25" customHeight="1">
      <c r="A17" s="499" t="s">
        <v>629</v>
      </c>
      <c r="B17" s="492">
        <f>SUM(B18:B19)</f>
        <v>25132697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</row>
    <row r="18" spans="1:127" s="490" customFormat="1" ht="23.25" customHeight="1">
      <c r="A18" s="493" t="s">
        <v>630</v>
      </c>
      <c r="B18" s="494">
        <v>25132697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</row>
    <row r="19" spans="1:127" s="490" customFormat="1" ht="23.25" customHeight="1">
      <c r="A19" s="493" t="s">
        <v>631</v>
      </c>
      <c r="B19" s="494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</row>
    <row r="20" spans="1:97" s="490" customFormat="1" ht="23.25" customHeight="1">
      <c r="A20" s="500" t="s">
        <v>632</v>
      </c>
      <c r="B20" s="501">
        <f>SUM(B10-B17)</f>
        <v>2822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</row>
    <row r="21" spans="1:97" s="443" customFormat="1" ht="12.75">
      <c r="A21" s="481"/>
      <c r="B21" s="481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</row>
    <row r="22" spans="1:97" s="443" customFormat="1" ht="12.75">
      <c r="A22" s="481"/>
      <c r="B22" s="481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</row>
    <row r="23" spans="1:82" s="443" customFormat="1" ht="12.75">
      <c r="A23" s="481"/>
      <c r="B23" s="481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</row>
    <row r="24" spans="1:82" s="443" customFormat="1" ht="12.75">
      <c r="A24" s="481"/>
      <c r="B24" s="481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</row>
    <row r="25" spans="1:82" s="481" customFormat="1" ht="12.75">
      <c r="A25" s="443" t="s">
        <v>633</v>
      </c>
      <c r="B25" s="339" t="s">
        <v>467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</row>
    <row r="26" spans="1:82" s="481" customFormat="1" ht="12.75">
      <c r="A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</row>
    <row r="27" s="340" customFormat="1" ht="12"/>
    <row r="28" spans="1:2" s="340" customFormat="1" ht="14.25">
      <c r="A28" s="502"/>
      <c r="B28" s="503"/>
    </row>
    <row r="29" spans="1:2" s="340" customFormat="1" ht="14.25">
      <c r="A29" s="502"/>
      <c r="B29" s="503"/>
    </row>
    <row r="30" spans="1:2" s="340" customFormat="1" ht="14.25">
      <c r="A30" s="502"/>
      <c r="B30" s="504"/>
    </row>
    <row r="31" s="340" customFormat="1" ht="14.25">
      <c r="A31" s="502"/>
    </row>
    <row r="32" s="340" customFormat="1" ht="14.25">
      <c r="A32" s="502"/>
    </row>
    <row r="33" s="340" customFormat="1" ht="14.25">
      <c r="A33" s="502"/>
    </row>
    <row r="34" s="340" customFormat="1" ht="14.25">
      <c r="A34" s="502"/>
    </row>
    <row r="35" s="340" customFormat="1" ht="14.25">
      <c r="A35" s="502"/>
    </row>
    <row r="36" s="340" customFormat="1" ht="14.25">
      <c r="A36" s="502"/>
    </row>
    <row r="37" s="340" customFormat="1" ht="14.25">
      <c r="A37" s="502"/>
    </row>
    <row r="38" s="340" customFormat="1" ht="14.25">
      <c r="A38" s="502"/>
    </row>
    <row r="39" s="340" customFormat="1" ht="14.25">
      <c r="A39" s="502"/>
    </row>
    <row r="40" spans="1:82" ht="14.25">
      <c r="A40" s="502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</row>
    <row r="41" spans="1:82" ht="14.25">
      <c r="A41" s="502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</row>
    <row r="42" spans="1:82" ht="14.25">
      <c r="A42" s="502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</row>
    <row r="43" spans="1:82" ht="14.25">
      <c r="A43" s="502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</row>
    <row r="44" spans="1:82" ht="14.25">
      <c r="A44" s="502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</row>
    <row r="45" spans="1:82" ht="14.25">
      <c r="A45" s="502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</row>
    <row r="46" spans="1:82" ht="14.25">
      <c r="A46" s="502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</row>
    <row r="47" spans="1:82" ht="14.25">
      <c r="A47" s="502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</row>
    <row r="48" spans="1:82" ht="14.25">
      <c r="A48" s="502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</row>
    <row r="49" spans="1:82" ht="14.25">
      <c r="A49" s="502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</row>
    <row r="50" spans="1:82" ht="14.25">
      <c r="A50" s="502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</row>
    <row r="51" spans="1:82" ht="14.25">
      <c r="A51" s="502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</row>
    <row r="52" spans="1:82" ht="14.25">
      <c r="A52" s="502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</row>
    <row r="53" spans="1:82" ht="14.25">
      <c r="A53" s="502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</row>
    <row r="54" spans="1:82" ht="14.25">
      <c r="A54" s="502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</row>
    <row r="55" spans="1:82" ht="14.25">
      <c r="A55" s="502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</row>
    <row r="56" spans="1:82" ht="14.25">
      <c r="A56" s="502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</row>
    <row r="57" spans="12:82" ht="12"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</row>
    <row r="58" spans="12:82" ht="12"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</row>
    <row r="59" spans="12:82" ht="12"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</row>
    <row r="60" spans="12:82" ht="12"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0"/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340"/>
      <c r="CD60" s="340"/>
    </row>
    <row r="61" spans="12:82" ht="12"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</row>
    <row r="62" spans="12:82" ht="12"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15.11.99.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113"/>
  <sheetViews>
    <sheetView workbookViewId="0" topLeftCell="F1">
      <selection activeCell="H9" sqref="H9"/>
    </sheetView>
  </sheetViews>
  <sheetFormatPr defaultColWidth="9.140625" defaultRowHeight="12.75"/>
  <cols>
    <col min="1" max="1" width="49.57421875" style="48" hidden="1" customWidth="1"/>
    <col min="2" max="2" width="12.7109375" style="49" hidden="1" customWidth="1"/>
    <col min="3" max="3" width="14.28125" style="48" hidden="1" customWidth="1"/>
    <col min="4" max="4" width="9.57421875" style="48" hidden="1" customWidth="1"/>
    <col min="5" max="5" width="12.00390625" style="48" hidden="1" customWidth="1"/>
    <col min="6" max="6" width="46.710937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8.7109375" style="0" customWidth="1"/>
    <col min="212" max="16384" width="9.140625" style="48" customWidth="1"/>
  </cols>
  <sheetData>
    <row r="1" spans="5:10" ht="12.75">
      <c r="E1" s="48" t="s">
        <v>45</v>
      </c>
      <c r="F1" s="48"/>
      <c r="G1" s="49"/>
      <c r="H1" s="48"/>
      <c r="I1" s="48"/>
      <c r="J1" s="48" t="s">
        <v>45</v>
      </c>
    </row>
    <row r="2" spans="1:10" ht="18" customHeight="1">
      <c r="A2" s="36" t="s">
        <v>46</v>
      </c>
      <c r="B2" s="50"/>
      <c r="C2" s="36"/>
      <c r="D2" s="36"/>
      <c r="E2" s="36"/>
      <c r="F2" s="36" t="s">
        <v>46</v>
      </c>
      <c r="G2" s="50"/>
      <c r="H2" s="36"/>
      <c r="I2" s="36"/>
      <c r="J2" s="36"/>
    </row>
    <row r="3" spans="6:10" ht="9.75" customHeight="1">
      <c r="F3" s="48"/>
      <c r="G3" s="49"/>
      <c r="H3" s="48"/>
      <c r="I3" s="48"/>
      <c r="J3" s="48"/>
    </row>
    <row r="4" spans="1:10" ht="18.75" customHeight="1">
      <c r="A4" s="302" t="s">
        <v>47</v>
      </c>
      <c r="B4" s="302"/>
      <c r="C4" s="302"/>
      <c r="D4" s="302"/>
      <c r="E4" s="302"/>
      <c r="F4" s="302" t="s">
        <v>47</v>
      </c>
      <c r="G4" s="302"/>
      <c r="H4" s="302"/>
      <c r="I4" s="302"/>
      <c r="J4" s="302"/>
    </row>
    <row r="5" spans="1:10" ht="15.75" customHeight="1">
      <c r="A5" s="51"/>
      <c r="B5" s="50"/>
      <c r="C5" s="36"/>
      <c r="D5" s="43"/>
      <c r="E5" s="43"/>
      <c r="F5" s="51"/>
      <c r="G5" s="50"/>
      <c r="H5" s="36"/>
      <c r="I5" s="43"/>
      <c r="J5" s="43" t="s">
        <v>48</v>
      </c>
    </row>
    <row r="6" spans="1:10" ht="45">
      <c r="A6" s="4" t="s">
        <v>2</v>
      </c>
      <c r="B6" s="52" t="s">
        <v>49</v>
      </c>
      <c r="C6" s="4" t="s">
        <v>50</v>
      </c>
      <c r="D6" s="4" t="s">
        <v>51</v>
      </c>
      <c r="E6" s="4" t="s">
        <v>52</v>
      </c>
      <c r="F6" s="4" t="s">
        <v>2</v>
      </c>
      <c r="G6" s="52" t="s">
        <v>49</v>
      </c>
      <c r="H6" s="4" t="s">
        <v>50</v>
      </c>
      <c r="I6" s="4" t="s">
        <v>51</v>
      </c>
      <c r="J6" s="4" t="s">
        <v>52</v>
      </c>
    </row>
    <row r="7" spans="1:10" ht="12.75">
      <c r="A7" s="4">
        <v>1</v>
      </c>
      <c r="B7" s="52">
        <v>2</v>
      </c>
      <c r="C7" s="4">
        <v>3</v>
      </c>
      <c r="D7" s="4">
        <v>4</v>
      </c>
      <c r="E7" s="4">
        <v>5</v>
      </c>
      <c r="F7" s="4">
        <v>1</v>
      </c>
      <c r="G7" s="52">
        <v>2</v>
      </c>
      <c r="H7" s="4">
        <v>3</v>
      </c>
      <c r="I7" s="4">
        <v>4</v>
      </c>
      <c r="J7" s="4">
        <v>5</v>
      </c>
    </row>
    <row r="8" spans="1:10" ht="30" customHeight="1">
      <c r="A8" s="30" t="s">
        <v>53</v>
      </c>
      <c r="B8" s="53">
        <v>1322445248</v>
      </c>
      <c r="C8" s="53">
        <v>1048797088</v>
      </c>
      <c r="D8" s="54">
        <v>0.79</v>
      </c>
      <c r="E8" s="53">
        <v>113384889</v>
      </c>
      <c r="F8" s="30" t="s">
        <v>53</v>
      </c>
      <c r="G8" s="55">
        <v>1322445</v>
      </c>
      <c r="H8" s="55">
        <v>1048796</v>
      </c>
      <c r="I8" s="56">
        <v>0.793</v>
      </c>
      <c r="J8" s="55">
        <v>113383</v>
      </c>
    </row>
    <row r="9" spans="1:10" ht="29.25" customHeight="1">
      <c r="A9" s="57" t="s">
        <v>54</v>
      </c>
      <c r="B9" s="53">
        <v>664848446</v>
      </c>
      <c r="C9" s="53">
        <v>535708972</v>
      </c>
      <c r="D9" s="54">
        <v>0.81</v>
      </c>
      <c r="E9" s="53">
        <v>59460846</v>
      </c>
      <c r="F9" s="57" t="s">
        <v>54</v>
      </c>
      <c r="G9" s="58">
        <v>664848</v>
      </c>
      <c r="H9" s="58">
        <v>535708</v>
      </c>
      <c r="I9" s="59">
        <v>0.806</v>
      </c>
      <c r="J9" s="58">
        <v>59459</v>
      </c>
    </row>
    <row r="10" spans="1:10" ht="19.5" customHeight="1">
      <c r="A10" s="60" t="s">
        <v>55</v>
      </c>
      <c r="B10" s="61">
        <v>515297983</v>
      </c>
      <c r="C10" s="61">
        <v>440355138</v>
      </c>
      <c r="D10" s="62">
        <v>0.85</v>
      </c>
      <c r="E10" s="61">
        <v>48019470</v>
      </c>
      <c r="F10" s="60" t="s">
        <v>55</v>
      </c>
      <c r="G10" s="61">
        <v>515297</v>
      </c>
      <c r="H10" s="61">
        <v>440355</v>
      </c>
      <c r="I10" s="63">
        <v>0.855</v>
      </c>
      <c r="J10" s="61">
        <v>48019</v>
      </c>
    </row>
    <row r="11" spans="1:10" ht="15.75" customHeight="1">
      <c r="A11" s="64" t="s">
        <v>56</v>
      </c>
      <c r="B11" s="61">
        <v>85300000</v>
      </c>
      <c r="C11" s="61">
        <v>76776185</v>
      </c>
      <c r="D11" s="62">
        <v>0.9</v>
      </c>
      <c r="E11" s="61">
        <v>8361596</v>
      </c>
      <c r="F11" s="64" t="s">
        <v>56</v>
      </c>
      <c r="G11" s="61">
        <v>85300</v>
      </c>
      <c r="H11" s="61">
        <v>76776</v>
      </c>
      <c r="I11" s="63">
        <v>0.9</v>
      </c>
      <c r="J11" s="61">
        <v>8361</v>
      </c>
    </row>
    <row r="12" spans="1:10" ht="15.75" customHeight="1">
      <c r="A12" s="65" t="s">
        <v>57</v>
      </c>
      <c r="B12" s="61">
        <v>85300000</v>
      </c>
      <c r="C12" s="61">
        <v>76776185</v>
      </c>
      <c r="D12" s="62">
        <v>0.9</v>
      </c>
      <c r="E12" s="61">
        <v>8361596</v>
      </c>
      <c r="F12" s="65" t="s">
        <v>57</v>
      </c>
      <c r="G12" s="61">
        <v>85300</v>
      </c>
      <c r="H12" s="61">
        <v>76776</v>
      </c>
      <c r="I12" s="63">
        <v>0.9</v>
      </c>
      <c r="J12" s="61">
        <v>8361</v>
      </c>
    </row>
    <row r="13" spans="1:10" ht="16.5" customHeight="1">
      <c r="A13" s="64" t="s">
        <v>58</v>
      </c>
      <c r="B13" s="61">
        <v>429997983</v>
      </c>
      <c r="C13" s="61">
        <v>357816270</v>
      </c>
      <c r="D13" s="62">
        <v>0.83</v>
      </c>
      <c r="E13" s="61">
        <v>38357325</v>
      </c>
      <c r="F13" s="64" t="s">
        <v>58</v>
      </c>
      <c r="G13" s="61">
        <v>429997</v>
      </c>
      <c r="H13" s="61">
        <v>357816</v>
      </c>
      <c r="I13" s="63">
        <v>0.832</v>
      </c>
      <c r="J13" s="61">
        <v>38357</v>
      </c>
    </row>
    <row r="14" spans="1:10" ht="17.25" customHeight="1">
      <c r="A14" s="66" t="s">
        <v>59</v>
      </c>
      <c r="B14" s="61">
        <v>307331592</v>
      </c>
      <c r="C14" s="61">
        <v>257021374</v>
      </c>
      <c r="D14" s="62">
        <v>0.84</v>
      </c>
      <c r="E14" s="61">
        <v>28941286</v>
      </c>
      <c r="F14" s="66" t="s">
        <v>59</v>
      </c>
      <c r="G14" s="61">
        <v>307331</v>
      </c>
      <c r="H14" s="61">
        <v>257021</v>
      </c>
      <c r="I14" s="63">
        <v>0.836</v>
      </c>
      <c r="J14" s="61">
        <v>28941</v>
      </c>
    </row>
    <row r="15" spans="1:10" ht="17.25" customHeight="1">
      <c r="A15" s="65" t="s">
        <v>60</v>
      </c>
      <c r="B15" s="61">
        <v>107751391</v>
      </c>
      <c r="C15" s="61">
        <v>87928656</v>
      </c>
      <c r="D15" s="62">
        <v>0.82</v>
      </c>
      <c r="E15" s="61">
        <v>8147486</v>
      </c>
      <c r="F15" s="65" t="s">
        <v>60</v>
      </c>
      <c r="G15" s="61">
        <v>107751</v>
      </c>
      <c r="H15" s="61">
        <v>87929</v>
      </c>
      <c r="I15" s="63">
        <v>0.816</v>
      </c>
      <c r="J15" s="61">
        <v>8148</v>
      </c>
    </row>
    <row r="16" spans="1:10" ht="16.5" customHeight="1">
      <c r="A16" s="65" t="s">
        <v>61</v>
      </c>
      <c r="B16" s="61">
        <v>14915000</v>
      </c>
      <c r="C16" s="61">
        <v>12866240</v>
      </c>
      <c r="D16" s="62">
        <v>0.86</v>
      </c>
      <c r="E16" s="61">
        <v>1268553</v>
      </c>
      <c r="F16" s="65" t="s">
        <v>61</v>
      </c>
      <c r="G16" s="61">
        <v>14915</v>
      </c>
      <c r="H16" s="61">
        <v>12866</v>
      </c>
      <c r="I16" s="63">
        <v>0.863</v>
      </c>
      <c r="J16" s="61">
        <v>1268</v>
      </c>
    </row>
    <row r="17" spans="1:10" ht="15.75" customHeight="1">
      <c r="A17" s="64" t="s">
        <v>62</v>
      </c>
      <c r="B17" s="61"/>
      <c r="C17" s="61">
        <v>5762683</v>
      </c>
      <c r="D17" s="62" t="s">
        <v>63</v>
      </c>
      <c r="E17" s="61">
        <v>1300549</v>
      </c>
      <c r="F17" s="64" t="s">
        <v>62</v>
      </c>
      <c r="G17" s="61">
        <v>0</v>
      </c>
      <c r="H17" s="61">
        <v>5763</v>
      </c>
      <c r="I17" s="63" t="s">
        <v>63</v>
      </c>
      <c r="J17" s="61">
        <v>1301</v>
      </c>
    </row>
    <row r="18" spans="1:10" ht="12.75">
      <c r="A18" s="60" t="s">
        <v>64</v>
      </c>
      <c r="B18" s="61">
        <v>83205727</v>
      </c>
      <c r="C18" s="61">
        <v>45237121</v>
      </c>
      <c r="D18" s="62">
        <v>0.54</v>
      </c>
      <c r="E18" s="61">
        <v>5236635</v>
      </c>
      <c r="F18" s="60" t="s">
        <v>64</v>
      </c>
      <c r="G18" s="61">
        <v>83206</v>
      </c>
      <c r="H18" s="61">
        <v>45236</v>
      </c>
      <c r="I18" s="63">
        <v>0.544</v>
      </c>
      <c r="J18" s="61">
        <v>5235</v>
      </c>
    </row>
    <row r="19" spans="1:10" ht="15.75" customHeight="1">
      <c r="A19" s="67" t="s">
        <v>65</v>
      </c>
      <c r="B19" s="61">
        <v>66344736</v>
      </c>
      <c r="C19" s="61">
        <v>50116713</v>
      </c>
      <c r="D19" s="62">
        <v>0.76</v>
      </c>
      <c r="E19" s="61">
        <v>6204741</v>
      </c>
      <c r="F19" s="67" t="s">
        <v>65</v>
      </c>
      <c r="G19" s="61">
        <v>66345</v>
      </c>
      <c r="H19" s="61">
        <v>50117</v>
      </c>
      <c r="I19" s="63">
        <v>0.755</v>
      </c>
      <c r="J19" s="61">
        <v>6205</v>
      </c>
    </row>
    <row r="20" spans="1:10" ht="15.75" customHeight="1">
      <c r="A20" s="68" t="s">
        <v>66</v>
      </c>
      <c r="B20" s="61">
        <v>45817545</v>
      </c>
      <c r="C20" s="61">
        <v>10442085</v>
      </c>
      <c r="D20" s="62">
        <v>0.23</v>
      </c>
      <c r="E20" s="61">
        <v>540804</v>
      </c>
      <c r="F20" s="68" t="s">
        <v>67</v>
      </c>
      <c r="G20" s="69">
        <v>45817</v>
      </c>
      <c r="H20" s="69">
        <v>10442</v>
      </c>
      <c r="I20" s="70">
        <v>0.228</v>
      </c>
      <c r="J20" s="69">
        <v>541</v>
      </c>
    </row>
    <row r="21" spans="1:10" ht="19.5" customHeight="1">
      <c r="A21" s="57" t="s">
        <v>68</v>
      </c>
      <c r="B21" s="53">
        <v>619030901</v>
      </c>
      <c r="C21" s="53">
        <v>525266887</v>
      </c>
      <c r="D21" s="54">
        <v>0.85</v>
      </c>
      <c r="E21" s="53">
        <v>58920042</v>
      </c>
      <c r="F21" s="57" t="s">
        <v>68</v>
      </c>
      <c r="G21" s="58">
        <v>619031</v>
      </c>
      <c r="H21" s="58">
        <v>525266</v>
      </c>
      <c r="I21" s="59">
        <v>0.849</v>
      </c>
      <c r="J21" s="58">
        <v>58918</v>
      </c>
    </row>
    <row r="22" spans="1:10" ht="20.25" customHeight="1">
      <c r="A22" s="71" t="s">
        <v>69</v>
      </c>
      <c r="B22" s="53">
        <v>766212969</v>
      </c>
      <c r="C22" s="53">
        <v>576943070</v>
      </c>
      <c r="D22" s="54">
        <v>0.75</v>
      </c>
      <c r="E22" s="53">
        <v>60537833</v>
      </c>
      <c r="F22" s="57" t="s">
        <v>69</v>
      </c>
      <c r="G22" s="58">
        <v>766213</v>
      </c>
      <c r="H22" s="58">
        <v>576943</v>
      </c>
      <c r="I22" s="59">
        <v>0.753</v>
      </c>
      <c r="J22" s="58">
        <v>60538</v>
      </c>
    </row>
    <row r="23" spans="1:10" ht="12.75">
      <c r="A23" s="60" t="s">
        <v>70</v>
      </c>
      <c r="B23" s="61">
        <v>766212969</v>
      </c>
      <c r="C23" s="61">
        <v>576943070</v>
      </c>
      <c r="D23" s="62">
        <v>0.75</v>
      </c>
      <c r="E23" s="61">
        <v>60537833</v>
      </c>
      <c r="F23" s="60" t="s">
        <v>70</v>
      </c>
      <c r="G23" s="61">
        <v>766213</v>
      </c>
      <c r="H23" s="61">
        <v>576943</v>
      </c>
      <c r="I23" s="63">
        <v>0.753</v>
      </c>
      <c r="J23" s="61">
        <v>60538</v>
      </c>
    </row>
    <row r="24" spans="1:211" s="2" customFormat="1" ht="12.75">
      <c r="A24" s="65" t="s">
        <v>71</v>
      </c>
      <c r="B24" s="61">
        <v>445475000</v>
      </c>
      <c r="C24" s="61">
        <v>369538670</v>
      </c>
      <c r="D24" s="62">
        <v>0.83</v>
      </c>
      <c r="E24" s="61">
        <v>38016619</v>
      </c>
      <c r="F24" s="65" t="s">
        <v>71</v>
      </c>
      <c r="G24" s="61">
        <v>445475</v>
      </c>
      <c r="H24" s="61">
        <v>369539</v>
      </c>
      <c r="I24" s="63">
        <v>0.83</v>
      </c>
      <c r="J24" s="61">
        <v>38017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2" customFormat="1" ht="12.75">
      <c r="A25" s="72" t="s">
        <v>72</v>
      </c>
      <c r="B25" s="61">
        <v>54248609</v>
      </c>
      <c r="C25" s="61">
        <v>40152113</v>
      </c>
      <c r="D25" s="62">
        <v>0.74</v>
      </c>
      <c r="E25" s="61">
        <v>4444193</v>
      </c>
      <c r="F25" s="72" t="s">
        <v>72</v>
      </c>
      <c r="G25" s="61">
        <v>54249</v>
      </c>
      <c r="H25" s="61">
        <v>40152</v>
      </c>
      <c r="I25" s="63">
        <v>0.74</v>
      </c>
      <c r="J25" s="61">
        <v>4444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2" customFormat="1" ht="12.75">
      <c r="A26" s="72" t="s">
        <v>73</v>
      </c>
      <c r="B26" s="61">
        <v>71125600</v>
      </c>
      <c r="C26" s="61">
        <v>56102392</v>
      </c>
      <c r="D26" s="62">
        <v>0.79</v>
      </c>
      <c r="E26" s="61">
        <v>5339487</v>
      </c>
      <c r="F26" s="72" t="s">
        <v>73</v>
      </c>
      <c r="G26" s="61">
        <v>71125</v>
      </c>
      <c r="H26" s="61">
        <v>56102</v>
      </c>
      <c r="I26" s="63">
        <v>0.789</v>
      </c>
      <c r="J26" s="61">
        <v>5339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" customFormat="1" ht="12.75">
      <c r="A27" s="65" t="s">
        <v>74</v>
      </c>
      <c r="B27" s="61">
        <v>195363760</v>
      </c>
      <c r="C27" s="61">
        <v>111149895</v>
      </c>
      <c r="D27" s="62">
        <v>0.57</v>
      </c>
      <c r="E27" s="61">
        <v>12737534</v>
      </c>
      <c r="F27" s="65" t="s">
        <v>74</v>
      </c>
      <c r="G27" s="61">
        <v>195364</v>
      </c>
      <c r="H27" s="61">
        <v>111150</v>
      </c>
      <c r="I27" s="63">
        <v>0.569</v>
      </c>
      <c r="J27" s="61">
        <v>12738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" customFormat="1" ht="12.75">
      <c r="A28" s="73" t="s">
        <v>75</v>
      </c>
      <c r="B28" s="61">
        <v>62798622</v>
      </c>
      <c r="C28" s="61">
        <v>53412869</v>
      </c>
      <c r="D28" s="62">
        <v>0.85</v>
      </c>
      <c r="E28" s="61">
        <v>6072986</v>
      </c>
      <c r="F28" s="73" t="s">
        <v>76</v>
      </c>
      <c r="G28" s="69">
        <v>62799</v>
      </c>
      <c r="H28" s="69">
        <v>53413</v>
      </c>
      <c r="I28" s="70">
        <v>0.851</v>
      </c>
      <c r="J28" s="69">
        <v>6073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57" t="s">
        <v>77</v>
      </c>
      <c r="B29" s="53">
        <v>703414347</v>
      </c>
      <c r="C29" s="53">
        <v>523530201</v>
      </c>
      <c r="D29" s="54">
        <v>0.74</v>
      </c>
      <c r="E29" s="53">
        <v>54464847</v>
      </c>
      <c r="F29" s="57" t="s">
        <v>77</v>
      </c>
      <c r="G29" s="58">
        <v>703414</v>
      </c>
      <c r="H29" s="58">
        <v>523530</v>
      </c>
      <c r="I29" s="59">
        <v>0.744</v>
      </c>
      <c r="J29" s="58">
        <v>54465</v>
      </c>
    </row>
    <row r="30" spans="1:10" ht="29.25" customHeight="1">
      <c r="A30" s="74" t="s">
        <v>78</v>
      </c>
      <c r="B30" s="53">
        <v>1447916129</v>
      </c>
      <c r="C30" s="53">
        <v>1143445895</v>
      </c>
      <c r="D30" s="54">
        <v>0.79</v>
      </c>
      <c r="E30" s="53">
        <v>119725064</v>
      </c>
      <c r="F30" s="74" t="s">
        <v>78</v>
      </c>
      <c r="G30" s="55">
        <v>1447916</v>
      </c>
      <c r="H30" s="55">
        <v>1143447</v>
      </c>
      <c r="I30" s="56">
        <v>0.79</v>
      </c>
      <c r="J30" s="55">
        <v>119727</v>
      </c>
    </row>
    <row r="31" spans="1:10" ht="28.5" customHeight="1">
      <c r="A31" s="74" t="s">
        <v>79</v>
      </c>
      <c r="B31" s="53">
        <v>1337649555</v>
      </c>
      <c r="C31" s="53">
        <v>1057774030</v>
      </c>
      <c r="D31" s="54">
        <v>0.79</v>
      </c>
      <c r="E31" s="53">
        <v>109929293</v>
      </c>
      <c r="F31" s="74" t="s">
        <v>80</v>
      </c>
      <c r="G31" s="55">
        <v>1337650</v>
      </c>
      <c r="H31" s="55">
        <v>1057775</v>
      </c>
      <c r="I31" s="56">
        <v>0.791</v>
      </c>
      <c r="J31" s="55">
        <v>109930</v>
      </c>
    </row>
    <row r="32" spans="1:10" ht="25.5" customHeight="1">
      <c r="A32" s="74" t="s">
        <v>81</v>
      </c>
      <c r="B32" s="53">
        <v>30861975</v>
      </c>
      <c r="C32" s="53">
        <v>28274534</v>
      </c>
      <c r="D32" s="54">
        <v>0.92</v>
      </c>
      <c r="E32" s="53">
        <v>3786321</v>
      </c>
      <c r="F32" s="74" t="s">
        <v>82</v>
      </c>
      <c r="G32" s="55">
        <v>30862</v>
      </c>
      <c r="H32" s="55">
        <v>28274</v>
      </c>
      <c r="I32" s="56">
        <v>0.916</v>
      </c>
      <c r="J32" s="55">
        <v>3787</v>
      </c>
    </row>
    <row r="33" spans="1:10" ht="30" customHeight="1">
      <c r="A33" s="74" t="s">
        <v>83</v>
      </c>
      <c r="B33" s="53">
        <v>79404599</v>
      </c>
      <c r="C33" s="53">
        <v>57397331</v>
      </c>
      <c r="D33" s="54">
        <v>0.72</v>
      </c>
      <c r="E33" s="53">
        <v>6009450</v>
      </c>
      <c r="F33" s="74" t="s">
        <v>84</v>
      </c>
      <c r="G33" s="55">
        <v>79404</v>
      </c>
      <c r="H33" s="55">
        <v>57398</v>
      </c>
      <c r="I33" s="56">
        <v>0.723</v>
      </c>
      <c r="J33" s="55">
        <v>6010</v>
      </c>
    </row>
    <row r="34" spans="1:10" ht="29.25" customHeight="1">
      <c r="A34" s="74" t="s">
        <v>85</v>
      </c>
      <c r="B34" s="53">
        <v>-125470881</v>
      </c>
      <c r="C34" s="53">
        <v>-94648807</v>
      </c>
      <c r="D34" s="54">
        <v>0.75</v>
      </c>
      <c r="E34" s="53">
        <v>-6340175</v>
      </c>
      <c r="F34" s="74" t="s">
        <v>85</v>
      </c>
      <c r="G34" s="55">
        <v>-125471</v>
      </c>
      <c r="H34" s="55">
        <v>-94651</v>
      </c>
      <c r="I34" s="56">
        <v>0.754</v>
      </c>
      <c r="J34" s="55">
        <v>-6344</v>
      </c>
    </row>
    <row r="35" spans="1:10" ht="19.5" customHeight="1">
      <c r="A35" s="74" t="s">
        <v>86</v>
      </c>
      <c r="B35" s="53">
        <v>15498224</v>
      </c>
      <c r="C35" s="53">
        <v>9872514</v>
      </c>
      <c r="D35" s="54">
        <v>0.64</v>
      </c>
      <c r="E35" s="53">
        <v>2016589</v>
      </c>
      <c r="F35" s="74" t="s">
        <v>86</v>
      </c>
      <c r="G35" s="55">
        <v>15498</v>
      </c>
      <c r="H35" s="55">
        <v>9872</v>
      </c>
      <c r="I35" s="56">
        <v>0.637</v>
      </c>
      <c r="J35" s="55">
        <v>2016</v>
      </c>
    </row>
    <row r="36" spans="1:10" ht="30" customHeight="1">
      <c r="A36" s="74" t="s">
        <v>87</v>
      </c>
      <c r="B36" s="53">
        <v>1463414353</v>
      </c>
      <c r="C36" s="53">
        <v>1153318409</v>
      </c>
      <c r="D36" s="54">
        <v>0.79</v>
      </c>
      <c r="E36" s="53">
        <v>121741653</v>
      </c>
      <c r="F36" s="74" t="s">
        <v>88</v>
      </c>
      <c r="G36" s="55">
        <v>1463414</v>
      </c>
      <c r="H36" s="55">
        <v>1153319</v>
      </c>
      <c r="I36" s="56">
        <v>0.788</v>
      </c>
      <c r="J36" s="55">
        <v>121743</v>
      </c>
    </row>
    <row r="37" spans="1:10" ht="27" customHeight="1">
      <c r="A37" s="74" t="s">
        <v>89</v>
      </c>
      <c r="B37" s="53">
        <v>-140969105</v>
      </c>
      <c r="C37" s="55">
        <v>-104521321</v>
      </c>
      <c r="D37" s="54">
        <v>0.74</v>
      </c>
      <c r="E37" s="53">
        <v>-8356764</v>
      </c>
      <c r="F37" s="74" t="s">
        <v>89</v>
      </c>
      <c r="G37" s="55">
        <v>-140969</v>
      </c>
      <c r="H37" s="55">
        <v>-104523</v>
      </c>
      <c r="I37" s="56">
        <v>0.741</v>
      </c>
      <c r="J37" s="55">
        <v>-8360</v>
      </c>
    </row>
    <row r="38" spans="1:10" ht="15.75" customHeight="1">
      <c r="A38" s="57" t="s">
        <v>90</v>
      </c>
      <c r="B38" s="53">
        <v>697570053</v>
      </c>
      <c r="C38" s="53">
        <v>557121342</v>
      </c>
      <c r="D38" s="54">
        <v>0.8</v>
      </c>
      <c r="E38" s="53">
        <v>62709767</v>
      </c>
      <c r="F38" s="57" t="s">
        <v>90</v>
      </c>
      <c r="G38" s="58">
        <v>697570</v>
      </c>
      <c r="H38" s="58">
        <v>557122</v>
      </c>
      <c r="I38" s="59">
        <v>0.799</v>
      </c>
      <c r="J38" s="58">
        <v>62711</v>
      </c>
    </row>
    <row r="39" spans="1:10" ht="12.75">
      <c r="A39" s="75" t="s">
        <v>91</v>
      </c>
      <c r="B39" s="61">
        <v>62798622</v>
      </c>
      <c r="C39" s="61">
        <v>53412869</v>
      </c>
      <c r="D39" s="62">
        <v>0.85</v>
      </c>
      <c r="E39" s="61">
        <v>6072986</v>
      </c>
      <c r="F39" s="75" t="s">
        <v>92</v>
      </c>
      <c r="G39" s="69">
        <v>62798</v>
      </c>
      <c r="H39" s="69">
        <v>53413</v>
      </c>
      <c r="I39" s="70">
        <v>0.851</v>
      </c>
      <c r="J39" s="69">
        <v>6073</v>
      </c>
    </row>
    <row r="40" spans="1:10" ht="20.25" customHeight="1">
      <c r="A40" s="57" t="s">
        <v>93</v>
      </c>
      <c r="B40" s="53">
        <v>634771431</v>
      </c>
      <c r="C40" s="53">
        <v>503708473</v>
      </c>
      <c r="D40" s="54">
        <v>0.79</v>
      </c>
      <c r="E40" s="53">
        <v>56636781</v>
      </c>
      <c r="F40" s="57" t="s">
        <v>93</v>
      </c>
      <c r="G40" s="58">
        <v>634772</v>
      </c>
      <c r="H40" s="58">
        <v>503709</v>
      </c>
      <c r="I40" s="59">
        <v>0.794</v>
      </c>
      <c r="J40" s="58">
        <v>56638</v>
      </c>
    </row>
    <row r="41" spans="1:10" ht="12.75">
      <c r="A41" s="60" t="s">
        <v>94</v>
      </c>
      <c r="B41" s="61">
        <v>635105734</v>
      </c>
      <c r="C41" s="61">
        <v>510806269</v>
      </c>
      <c r="D41" s="62">
        <v>0.8</v>
      </c>
      <c r="E41" s="61">
        <v>57312198</v>
      </c>
      <c r="F41" s="60" t="s">
        <v>94</v>
      </c>
      <c r="G41" s="61">
        <v>635106</v>
      </c>
      <c r="H41" s="61">
        <v>510807</v>
      </c>
      <c r="I41" s="63">
        <v>0.804</v>
      </c>
      <c r="J41" s="61">
        <v>57313</v>
      </c>
    </row>
    <row r="42" spans="1:10" ht="12.75">
      <c r="A42" s="73" t="s">
        <v>95</v>
      </c>
      <c r="B42" s="61">
        <v>60860622</v>
      </c>
      <c r="C42" s="61">
        <v>51539129</v>
      </c>
      <c r="D42" s="62">
        <v>0.85</v>
      </c>
      <c r="E42" s="61">
        <v>5862057</v>
      </c>
      <c r="F42" s="73" t="s">
        <v>96</v>
      </c>
      <c r="G42" s="69">
        <v>60860</v>
      </c>
      <c r="H42" s="69">
        <v>51539</v>
      </c>
      <c r="I42" s="70">
        <v>0.847</v>
      </c>
      <c r="J42" s="69">
        <v>5862</v>
      </c>
    </row>
    <row r="43" spans="1:10" ht="15" customHeight="1">
      <c r="A43" s="57" t="s">
        <v>97</v>
      </c>
      <c r="B43" s="53">
        <v>574245112</v>
      </c>
      <c r="C43" s="53">
        <v>459267140</v>
      </c>
      <c r="D43" s="54">
        <v>0.8</v>
      </c>
      <c r="E43" s="53">
        <v>51450141</v>
      </c>
      <c r="F43" s="57" t="s">
        <v>97</v>
      </c>
      <c r="G43" s="58">
        <v>574246</v>
      </c>
      <c r="H43" s="58">
        <v>459268</v>
      </c>
      <c r="I43" s="59">
        <v>0.8</v>
      </c>
      <c r="J43" s="58">
        <v>51451</v>
      </c>
    </row>
    <row r="44" spans="1:10" ht="15.75" customHeight="1">
      <c r="A44" s="60" t="s">
        <v>98</v>
      </c>
      <c r="B44" s="61">
        <v>14475786</v>
      </c>
      <c r="C44" s="61">
        <v>10213446</v>
      </c>
      <c r="D44" s="62">
        <v>0.71</v>
      </c>
      <c r="E44" s="61">
        <v>1567712</v>
      </c>
      <c r="F44" s="60" t="s">
        <v>98</v>
      </c>
      <c r="G44" s="61">
        <v>14476</v>
      </c>
      <c r="H44" s="61">
        <v>10213</v>
      </c>
      <c r="I44" s="63">
        <v>0.706</v>
      </c>
      <c r="J44" s="61">
        <v>1568</v>
      </c>
    </row>
    <row r="45" spans="1:10" ht="19.5" customHeight="1">
      <c r="A45" s="57" t="s">
        <v>99</v>
      </c>
      <c r="B45" s="53">
        <v>14475786</v>
      </c>
      <c r="C45" s="53">
        <v>10213446</v>
      </c>
      <c r="D45" s="54">
        <v>0.71</v>
      </c>
      <c r="E45" s="53">
        <v>1567712</v>
      </c>
      <c r="F45" s="57" t="s">
        <v>99</v>
      </c>
      <c r="G45" s="58">
        <v>14476</v>
      </c>
      <c r="H45" s="58">
        <v>10213</v>
      </c>
      <c r="I45" s="59">
        <v>0.706</v>
      </c>
      <c r="J45" s="58">
        <v>1568</v>
      </c>
    </row>
    <row r="46" spans="1:10" ht="0.75" customHeight="1" hidden="1">
      <c r="A46" s="4" t="s">
        <v>2</v>
      </c>
      <c r="B46" s="52" t="s">
        <v>49</v>
      </c>
      <c r="C46" s="4" t="s">
        <v>50</v>
      </c>
      <c r="D46" s="4" t="s">
        <v>51</v>
      </c>
      <c r="E46" s="4" t="s">
        <v>100</v>
      </c>
      <c r="F46" s="4" t="s">
        <v>2</v>
      </c>
      <c r="G46" s="52" t="s">
        <v>49</v>
      </c>
      <c r="H46" s="4" t="s">
        <v>50</v>
      </c>
      <c r="I46" s="4" t="s">
        <v>51</v>
      </c>
      <c r="J46" s="4" t="s">
        <v>101</v>
      </c>
    </row>
    <row r="47" spans="1:10" ht="12.75" hidden="1">
      <c r="A47" s="4">
        <v>1</v>
      </c>
      <c r="B47" s="52">
        <v>2</v>
      </c>
      <c r="C47" s="4">
        <v>3</v>
      </c>
      <c r="D47" s="4">
        <v>4</v>
      </c>
      <c r="E47" s="4">
        <v>5</v>
      </c>
      <c r="F47" s="4">
        <v>1</v>
      </c>
      <c r="G47" s="52">
        <v>2</v>
      </c>
      <c r="H47" s="4">
        <v>3</v>
      </c>
      <c r="I47" s="4">
        <v>4</v>
      </c>
      <c r="J47" s="4">
        <v>5</v>
      </c>
    </row>
    <row r="48" spans="1:10" ht="12.75">
      <c r="A48" s="60" t="s">
        <v>102</v>
      </c>
      <c r="B48" s="61">
        <v>47988533</v>
      </c>
      <c r="C48" s="61">
        <v>36101627</v>
      </c>
      <c r="D48" s="62">
        <v>0.75</v>
      </c>
      <c r="E48" s="61">
        <v>3829857</v>
      </c>
      <c r="F48" s="60" t="s">
        <v>102</v>
      </c>
      <c r="G48" s="61">
        <v>47988</v>
      </c>
      <c r="H48" s="61">
        <v>36102</v>
      </c>
      <c r="I48" s="63">
        <v>0.752</v>
      </c>
      <c r="J48" s="61">
        <v>3830</v>
      </c>
    </row>
    <row r="49" spans="1:211" s="60" customFormat="1" ht="12.75">
      <c r="A49" s="73" t="s">
        <v>103</v>
      </c>
      <c r="B49" s="61">
        <v>1938000</v>
      </c>
      <c r="C49" s="61">
        <v>1873740</v>
      </c>
      <c r="D49" s="62">
        <v>0.97</v>
      </c>
      <c r="E49" s="61">
        <v>210929</v>
      </c>
      <c r="F49" s="73" t="s">
        <v>96</v>
      </c>
      <c r="G49" s="69">
        <v>1938</v>
      </c>
      <c r="H49" s="69">
        <v>1874</v>
      </c>
      <c r="I49" s="70">
        <v>0.967</v>
      </c>
      <c r="J49" s="69">
        <v>211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60" customFormat="1" ht="17.25" customHeight="1">
      <c r="A50" s="57" t="s">
        <v>104</v>
      </c>
      <c r="B50" s="53">
        <v>46050533</v>
      </c>
      <c r="C50" s="53">
        <v>34227887</v>
      </c>
      <c r="D50" s="54">
        <v>0.74</v>
      </c>
      <c r="E50" s="53">
        <v>3618928</v>
      </c>
      <c r="F50" s="57" t="s">
        <v>104</v>
      </c>
      <c r="G50" s="58">
        <v>46050</v>
      </c>
      <c r="H50" s="58">
        <v>34228</v>
      </c>
      <c r="I50" s="59">
        <v>0.743</v>
      </c>
      <c r="J50" s="58">
        <v>3619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60" customFormat="1" ht="30" customHeight="1">
      <c r="A51" s="74" t="s">
        <v>105</v>
      </c>
      <c r="B51" s="53">
        <v>-32721607</v>
      </c>
      <c r="C51" s="53">
        <v>-21412370</v>
      </c>
      <c r="D51" s="54">
        <v>0.65</v>
      </c>
      <c r="E51" s="53">
        <v>-3248921</v>
      </c>
      <c r="F51" s="74" t="s">
        <v>105</v>
      </c>
      <c r="G51" s="55">
        <v>-32722</v>
      </c>
      <c r="H51" s="55">
        <v>-21414</v>
      </c>
      <c r="I51" s="56">
        <v>0.654</v>
      </c>
      <c r="J51" s="55">
        <v>-3252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60" customFormat="1" ht="17.25" customHeight="1">
      <c r="A52" s="57" t="s">
        <v>106</v>
      </c>
      <c r="B52" s="53">
        <v>11747474</v>
      </c>
      <c r="C52" s="53">
        <v>7800976</v>
      </c>
      <c r="D52" s="54">
        <v>0.66</v>
      </c>
      <c r="E52" s="53">
        <v>1649797</v>
      </c>
      <c r="F52" s="57" t="s">
        <v>107</v>
      </c>
      <c r="G52" s="58">
        <v>11747</v>
      </c>
      <c r="H52" s="58">
        <v>7801</v>
      </c>
      <c r="I52" s="59">
        <v>0.664</v>
      </c>
      <c r="J52" s="58">
        <v>1650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60" customFormat="1" ht="16.5" customHeight="1">
      <c r="A53" s="60" t="s">
        <v>108</v>
      </c>
      <c r="B53" s="61">
        <v>89768122</v>
      </c>
      <c r="C53" s="61">
        <v>94926291</v>
      </c>
      <c r="D53" s="62">
        <v>1.06</v>
      </c>
      <c r="E53" s="61">
        <v>6180228</v>
      </c>
      <c r="F53" s="60" t="s">
        <v>108</v>
      </c>
      <c r="G53" s="61">
        <v>89768</v>
      </c>
      <c r="H53" s="61">
        <v>94926</v>
      </c>
      <c r="I53" s="63">
        <v>1.057</v>
      </c>
      <c r="J53" s="61">
        <v>6180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60" customFormat="1" ht="14.25" customHeight="1">
      <c r="A54" s="73" t="s">
        <v>103</v>
      </c>
      <c r="B54" s="61">
        <v>78020648</v>
      </c>
      <c r="C54" s="61">
        <v>70534210</v>
      </c>
      <c r="D54" s="62">
        <v>0.9</v>
      </c>
      <c r="E54" s="61">
        <v>4024169</v>
      </c>
      <c r="F54" s="73" t="s">
        <v>96</v>
      </c>
      <c r="G54" s="69">
        <v>78021</v>
      </c>
      <c r="H54" s="69">
        <v>70534</v>
      </c>
      <c r="I54" s="70">
        <v>0.904</v>
      </c>
      <c r="J54" s="69">
        <v>4024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60" customFormat="1" ht="15" customHeight="1">
      <c r="A55" s="60" t="s">
        <v>109</v>
      </c>
      <c r="B55" s="61">
        <v>11747474</v>
      </c>
      <c r="C55" s="61">
        <v>24392081</v>
      </c>
      <c r="D55" s="62">
        <v>2.08</v>
      </c>
      <c r="E55" s="61">
        <v>2156059</v>
      </c>
      <c r="F55" s="60" t="s">
        <v>109</v>
      </c>
      <c r="G55" s="61">
        <v>11747</v>
      </c>
      <c r="H55" s="61">
        <v>24392</v>
      </c>
      <c r="I55" s="63">
        <v>2.076</v>
      </c>
      <c r="J55" s="61">
        <v>2156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60" customFormat="1" ht="15.75" customHeight="1">
      <c r="A56" s="60" t="s">
        <v>110</v>
      </c>
      <c r="B56" s="61"/>
      <c r="C56" s="61">
        <v>32957867</v>
      </c>
      <c r="D56" s="62" t="s">
        <v>63</v>
      </c>
      <c r="E56" s="61">
        <v>589802</v>
      </c>
      <c r="F56" s="60" t="s">
        <v>110</v>
      </c>
      <c r="G56" s="61">
        <v>0</v>
      </c>
      <c r="H56" s="61">
        <v>32958</v>
      </c>
      <c r="I56" s="63" t="s">
        <v>63</v>
      </c>
      <c r="J56" s="61">
        <v>590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60" customFormat="1" ht="15.75" customHeight="1">
      <c r="A57" s="73" t="s">
        <v>111</v>
      </c>
      <c r="B57" s="61"/>
      <c r="C57" s="61">
        <v>16366762</v>
      </c>
      <c r="D57" s="62" t="s">
        <v>63</v>
      </c>
      <c r="E57" s="61">
        <v>83540</v>
      </c>
      <c r="F57" s="73" t="s">
        <v>112</v>
      </c>
      <c r="G57" s="69">
        <v>0</v>
      </c>
      <c r="H57" s="69">
        <v>16367</v>
      </c>
      <c r="I57" s="70" t="s">
        <v>63</v>
      </c>
      <c r="J57" s="69">
        <v>84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60" customFormat="1" ht="16.5" customHeight="1">
      <c r="A58" s="60" t="s">
        <v>113</v>
      </c>
      <c r="B58" s="61">
        <v>0</v>
      </c>
      <c r="C58" s="61">
        <v>16591105</v>
      </c>
      <c r="D58" s="62" t="s">
        <v>63</v>
      </c>
      <c r="E58" s="61">
        <v>506262</v>
      </c>
      <c r="F58" s="60" t="s">
        <v>113</v>
      </c>
      <c r="G58" s="61">
        <v>0</v>
      </c>
      <c r="H58" s="61">
        <v>16591</v>
      </c>
      <c r="I58" s="63" t="s">
        <v>63</v>
      </c>
      <c r="J58" s="61">
        <v>506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60" customFormat="1" ht="32.25" customHeight="1">
      <c r="A59" s="74" t="s">
        <v>114</v>
      </c>
      <c r="B59" s="53">
        <v>-122489729</v>
      </c>
      <c r="C59" s="53">
        <v>-83380794</v>
      </c>
      <c r="D59" s="54">
        <v>0.68</v>
      </c>
      <c r="E59" s="53">
        <v>-8839347</v>
      </c>
      <c r="F59" s="74" t="s">
        <v>114</v>
      </c>
      <c r="G59" s="55">
        <v>-122490</v>
      </c>
      <c r="H59" s="55">
        <v>-83382</v>
      </c>
      <c r="I59" s="56">
        <v>0.681</v>
      </c>
      <c r="J59" s="55">
        <v>-8842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60" customFormat="1" ht="17.25" customHeight="1">
      <c r="A60" s="57" t="s">
        <v>115</v>
      </c>
      <c r="B60" s="53">
        <v>858962243</v>
      </c>
      <c r="C60" s="53">
        <v>650179507</v>
      </c>
      <c r="D60" s="54">
        <v>0.76</v>
      </c>
      <c r="E60" s="53">
        <v>63629087</v>
      </c>
      <c r="F60" s="57" t="s">
        <v>115</v>
      </c>
      <c r="G60" s="58">
        <v>858962</v>
      </c>
      <c r="H60" s="58">
        <v>650180</v>
      </c>
      <c r="I60" s="59">
        <v>0.757</v>
      </c>
      <c r="J60" s="58">
        <v>63630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60" customFormat="1" ht="19.5" customHeight="1">
      <c r="A61" s="73" t="s">
        <v>116</v>
      </c>
      <c r="B61" s="61">
        <v>45817545</v>
      </c>
      <c r="C61" s="61">
        <v>10442085</v>
      </c>
      <c r="D61" s="62">
        <v>0.23</v>
      </c>
      <c r="E61" s="61">
        <v>540804</v>
      </c>
      <c r="F61" s="73" t="s">
        <v>117</v>
      </c>
      <c r="G61" s="69">
        <v>45818</v>
      </c>
      <c r="H61" s="69">
        <v>10442</v>
      </c>
      <c r="I61" s="70">
        <v>0.228</v>
      </c>
      <c r="J61" s="69">
        <v>541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60" customFormat="1" ht="19.5" customHeight="1">
      <c r="A62" s="57" t="s">
        <v>118</v>
      </c>
      <c r="B62" s="53">
        <v>813144698</v>
      </c>
      <c r="C62" s="53">
        <v>639737422</v>
      </c>
      <c r="D62" s="54">
        <v>0.79</v>
      </c>
      <c r="E62" s="53">
        <v>63088283</v>
      </c>
      <c r="F62" s="57" t="s">
        <v>118</v>
      </c>
      <c r="G62" s="58">
        <v>813144</v>
      </c>
      <c r="H62" s="58">
        <v>639738</v>
      </c>
      <c r="I62" s="59">
        <v>0.787</v>
      </c>
      <c r="J62" s="58">
        <v>63089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60" customFormat="1" ht="15.75" customHeight="1">
      <c r="A63" s="60" t="s">
        <v>119</v>
      </c>
      <c r="B63" s="61">
        <v>809221988</v>
      </c>
      <c r="C63" s="61">
        <v>608948975</v>
      </c>
      <c r="D63" s="62">
        <v>0.75</v>
      </c>
      <c r="E63" s="61">
        <v>59019956</v>
      </c>
      <c r="F63" s="60" t="s">
        <v>119</v>
      </c>
      <c r="G63" s="61">
        <v>809222</v>
      </c>
      <c r="H63" s="61">
        <v>608949</v>
      </c>
      <c r="I63" s="63">
        <v>0.753</v>
      </c>
      <c r="J63" s="61">
        <v>59020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60" customFormat="1" ht="15" customHeight="1">
      <c r="A64" s="73" t="s">
        <v>120</v>
      </c>
      <c r="B64" s="61">
        <v>45817545</v>
      </c>
      <c r="C64" s="61">
        <v>10442085</v>
      </c>
      <c r="D64" s="62">
        <v>0.23</v>
      </c>
      <c r="E64" s="61">
        <v>540804</v>
      </c>
      <c r="F64" s="73" t="s">
        <v>117</v>
      </c>
      <c r="G64" s="69">
        <v>45818</v>
      </c>
      <c r="H64" s="69">
        <v>10442</v>
      </c>
      <c r="I64" s="70">
        <v>0.228</v>
      </c>
      <c r="J64" s="69">
        <v>541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60" customFormat="1" ht="27.75" customHeight="1">
      <c r="A65" s="57" t="s">
        <v>121</v>
      </c>
      <c r="B65" s="53">
        <v>763404443</v>
      </c>
      <c r="C65" s="53">
        <v>598506890</v>
      </c>
      <c r="D65" s="54">
        <v>0.78</v>
      </c>
      <c r="E65" s="53">
        <v>58479152</v>
      </c>
      <c r="F65" s="57" t="s">
        <v>121</v>
      </c>
      <c r="G65" s="58">
        <v>763404</v>
      </c>
      <c r="H65" s="58">
        <v>598507</v>
      </c>
      <c r="I65" s="59">
        <v>0.784</v>
      </c>
      <c r="J65" s="58">
        <v>58479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60" customFormat="1" ht="17.25" customHeight="1">
      <c r="A66" s="60" t="s">
        <v>122</v>
      </c>
      <c r="B66" s="61">
        <v>16386189</v>
      </c>
      <c r="C66" s="61">
        <v>18061088</v>
      </c>
      <c r="D66" s="62">
        <v>1.1</v>
      </c>
      <c r="E66" s="61">
        <v>2218609</v>
      </c>
      <c r="F66" s="60" t="s">
        <v>122</v>
      </c>
      <c r="G66" s="61">
        <v>16386</v>
      </c>
      <c r="H66" s="61">
        <v>18061</v>
      </c>
      <c r="I66" s="63">
        <v>1.102</v>
      </c>
      <c r="J66" s="61">
        <v>2219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60" customFormat="1" ht="18" customHeight="1">
      <c r="A67" s="57" t="s">
        <v>123</v>
      </c>
      <c r="B67" s="53">
        <v>16386189</v>
      </c>
      <c r="C67" s="53">
        <v>18061088</v>
      </c>
      <c r="D67" s="54">
        <v>1.1</v>
      </c>
      <c r="E67" s="53">
        <v>2218609</v>
      </c>
      <c r="F67" s="57" t="s">
        <v>123</v>
      </c>
      <c r="G67" s="58">
        <v>16386</v>
      </c>
      <c r="H67" s="58">
        <v>18061</v>
      </c>
      <c r="I67" s="59">
        <v>1.102</v>
      </c>
      <c r="J67" s="58">
        <v>2219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60" customFormat="1" ht="18" customHeight="1">
      <c r="A68" s="60" t="s">
        <v>124</v>
      </c>
      <c r="B68" s="61">
        <v>33354066</v>
      </c>
      <c r="C68" s="61">
        <v>23169444</v>
      </c>
      <c r="D68" s="62">
        <v>0.69</v>
      </c>
      <c r="E68" s="61">
        <v>2390522</v>
      </c>
      <c r="F68" s="60" t="s">
        <v>124</v>
      </c>
      <c r="G68" s="61">
        <v>33354</v>
      </c>
      <c r="H68" s="61">
        <v>23170</v>
      </c>
      <c r="I68" s="63">
        <v>0.695</v>
      </c>
      <c r="J68" s="61">
        <v>2391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60" customFormat="1" ht="16.5" customHeight="1">
      <c r="A69" s="57" t="s">
        <v>125</v>
      </c>
      <c r="B69" s="53">
        <v>33354066</v>
      </c>
      <c r="C69" s="53">
        <v>23169444</v>
      </c>
      <c r="D69" s="54">
        <v>0.69</v>
      </c>
      <c r="E69" s="53">
        <v>2390522</v>
      </c>
      <c r="F69" s="57" t="s">
        <v>125</v>
      </c>
      <c r="G69" s="58">
        <v>33354</v>
      </c>
      <c r="H69" s="58">
        <v>23170</v>
      </c>
      <c r="I69" s="59">
        <v>0.695</v>
      </c>
      <c r="J69" s="58">
        <v>2391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60" customFormat="1" ht="30.75" customHeight="1">
      <c r="A70" s="74" t="s">
        <v>126</v>
      </c>
      <c r="B70" s="53">
        <v>-92749274</v>
      </c>
      <c r="C70" s="53">
        <v>-73236437</v>
      </c>
      <c r="D70" s="54">
        <v>0.79</v>
      </c>
      <c r="E70" s="53">
        <v>-3091254</v>
      </c>
      <c r="F70" s="74" t="s">
        <v>126</v>
      </c>
      <c r="G70" s="55">
        <v>-92749</v>
      </c>
      <c r="H70" s="55">
        <v>-73237</v>
      </c>
      <c r="I70" s="56">
        <v>0.79</v>
      </c>
      <c r="J70" s="55">
        <v>-3092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60" customFormat="1" ht="16.5" customHeight="1">
      <c r="A71" s="57" t="s">
        <v>127</v>
      </c>
      <c r="B71" s="53">
        <v>3750750</v>
      </c>
      <c r="C71" s="53">
        <v>2071538</v>
      </c>
      <c r="D71" s="54">
        <v>0.55</v>
      </c>
      <c r="E71" s="53">
        <v>366792</v>
      </c>
      <c r="F71" s="57" t="s">
        <v>127</v>
      </c>
      <c r="G71" s="58">
        <v>3751</v>
      </c>
      <c r="H71" s="58">
        <v>2071</v>
      </c>
      <c r="I71" s="59">
        <v>0.552</v>
      </c>
      <c r="J71" s="58">
        <v>366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60" customFormat="1" ht="20.25" customHeight="1">
      <c r="A72" s="60" t="s">
        <v>128</v>
      </c>
      <c r="B72" s="61">
        <v>3750750</v>
      </c>
      <c r="C72" s="61">
        <v>2086369</v>
      </c>
      <c r="D72" s="62">
        <v>0.56</v>
      </c>
      <c r="E72" s="61">
        <v>370336</v>
      </c>
      <c r="F72" s="60" t="s">
        <v>128</v>
      </c>
      <c r="G72" s="61">
        <v>3751</v>
      </c>
      <c r="H72" s="61">
        <v>2086</v>
      </c>
      <c r="I72" s="63">
        <v>0.556</v>
      </c>
      <c r="J72" s="61">
        <v>370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60" customFormat="1" ht="15.75" customHeight="1">
      <c r="A73" s="60" t="s">
        <v>129</v>
      </c>
      <c r="B73" s="61">
        <v>3750750</v>
      </c>
      <c r="C73" s="61">
        <v>2086369</v>
      </c>
      <c r="D73" s="62">
        <v>0.56</v>
      </c>
      <c r="E73" s="61">
        <v>370336</v>
      </c>
      <c r="F73" s="60" t="s">
        <v>129</v>
      </c>
      <c r="G73" s="61">
        <v>3751</v>
      </c>
      <c r="H73" s="61">
        <v>2086</v>
      </c>
      <c r="I73" s="63">
        <v>0.556</v>
      </c>
      <c r="J73" s="61">
        <v>370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60" customFormat="1" ht="18" customHeight="1">
      <c r="A74" s="60" t="s">
        <v>130</v>
      </c>
      <c r="B74" s="61"/>
      <c r="C74" s="61">
        <v>14831</v>
      </c>
      <c r="D74" s="62" t="s">
        <v>63</v>
      </c>
      <c r="E74" s="61">
        <v>3544</v>
      </c>
      <c r="F74" s="60" t="s">
        <v>130</v>
      </c>
      <c r="G74" s="61">
        <v>0</v>
      </c>
      <c r="H74" s="61">
        <v>15</v>
      </c>
      <c r="I74" s="63" t="s">
        <v>63</v>
      </c>
      <c r="J74" s="61">
        <v>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60" customFormat="1" ht="16.5" customHeight="1">
      <c r="A75" s="60" t="s">
        <v>131</v>
      </c>
      <c r="B75" s="61">
        <v>0</v>
      </c>
      <c r="C75" s="61">
        <v>14831</v>
      </c>
      <c r="D75" s="62" t="s">
        <v>63</v>
      </c>
      <c r="E75" s="61">
        <v>3544</v>
      </c>
      <c r="F75" s="60" t="s">
        <v>131</v>
      </c>
      <c r="G75" s="61">
        <v>0</v>
      </c>
      <c r="H75" s="61">
        <v>15</v>
      </c>
      <c r="I75" s="63" t="s">
        <v>63</v>
      </c>
      <c r="J75" s="61">
        <v>4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60" customFormat="1" ht="30.75" customHeight="1">
      <c r="A76" s="74" t="s">
        <v>132</v>
      </c>
      <c r="B76" s="53">
        <v>-96500024</v>
      </c>
      <c r="C76" s="53">
        <v>-75307975</v>
      </c>
      <c r="D76" s="54">
        <v>0.78</v>
      </c>
      <c r="E76" s="53">
        <v>-3458046</v>
      </c>
      <c r="F76" s="74" t="s">
        <v>132</v>
      </c>
      <c r="G76" s="55">
        <v>-96500</v>
      </c>
      <c r="H76" s="55">
        <v>-75308</v>
      </c>
      <c r="I76" s="56">
        <v>0.78</v>
      </c>
      <c r="J76" s="55">
        <v>-3458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78" customFormat="1" ht="12.75">
      <c r="A77" s="76"/>
      <c r="B77" s="77"/>
      <c r="F77" s="76"/>
      <c r="G77" s="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78" customFormat="1" ht="12.75">
      <c r="A78" s="76"/>
      <c r="B78" s="77"/>
      <c r="F78" s="79"/>
      <c r="G78" s="7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80"/>
      <c r="F79" s="80"/>
      <c r="G79" s="49"/>
      <c r="H79" s="48"/>
      <c r="I79" s="48"/>
      <c r="J79" s="48"/>
    </row>
    <row r="80" spans="1:10" ht="12.75">
      <c r="A80" s="80"/>
      <c r="F80" s="80"/>
      <c r="G80" s="49"/>
      <c r="H80" s="48"/>
      <c r="I80" s="48"/>
      <c r="J80" s="48"/>
    </row>
    <row r="81" spans="1:10" ht="12.75">
      <c r="A81" s="78"/>
      <c r="F81" s="78"/>
      <c r="G81" s="49"/>
      <c r="H81" s="48"/>
      <c r="I81" s="48"/>
      <c r="J81" s="48"/>
    </row>
    <row r="82" spans="1:10" ht="12.75">
      <c r="A82" s="81" t="s">
        <v>133</v>
      </c>
      <c r="B82" s="50"/>
      <c r="C82" s="82"/>
      <c r="D82" s="82"/>
      <c r="E82" s="82"/>
      <c r="F82" s="81"/>
      <c r="G82" s="50"/>
      <c r="H82" s="82"/>
      <c r="I82" s="82"/>
      <c r="J82" s="82"/>
    </row>
    <row r="83" spans="1:10" ht="12.75">
      <c r="A83" s="2"/>
      <c r="F83" s="2"/>
      <c r="G83" s="49"/>
      <c r="H83" s="48"/>
      <c r="I83" s="48"/>
      <c r="J83" s="48"/>
    </row>
    <row r="84" spans="1:10" ht="12.75">
      <c r="A84" s="2"/>
      <c r="C84" s="43"/>
      <c r="D84" s="43"/>
      <c r="E84" s="43"/>
      <c r="F84" s="2"/>
      <c r="G84" s="49"/>
      <c r="H84" s="43"/>
      <c r="I84" s="43"/>
      <c r="J84" s="43"/>
    </row>
    <row r="85" spans="6:10" ht="12.75">
      <c r="F85" s="48"/>
      <c r="G85" s="49"/>
      <c r="H85" s="48"/>
      <c r="I85" s="48"/>
      <c r="J85" s="48"/>
    </row>
    <row r="86" spans="6:10" ht="12.75">
      <c r="F86" s="48"/>
      <c r="G86" s="49"/>
      <c r="H86" s="48"/>
      <c r="I86" s="48"/>
      <c r="J86" s="48"/>
    </row>
    <row r="87" spans="6:10" ht="12.75">
      <c r="F87" s="81" t="s">
        <v>133</v>
      </c>
      <c r="G87" s="50"/>
      <c r="H87" s="82"/>
      <c r="I87" s="48"/>
      <c r="J87" s="48"/>
    </row>
    <row r="88" spans="1:10" ht="12.75">
      <c r="A88" s="2" t="s">
        <v>134</v>
      </c>
      <c r="G88" s="49"/>
      <c r="H88" s="48"/>
      <c r="I88" s="48"/>
      <c r="J88" s="48"/>
    </row>
    <row r="89" spans="1:10" ht="12.75">
      <c r="A89" s="2" t="s">
        <v>135</v>
      </c>
      <c r="G89" s="49"/>
      <c r="H89" s="48"/>
      <c r="I89" s="48"/>
      <c r="J89" s="48"/>
    </row>
    <row r="90" spans="6:10" ht="12.75">
      <c r="F90" s="48"/>
      <c r="G90" s="49"/>
      <c r="H90" s="48"/>
      <c r="I90" s="48"/>
      <c r="J90" s="48"/>
    </row>
    <row r="91" spans="1:8" ht="15" customHeight="1">
      <c r="A91"/>
      <c r="B91"/>
      <c r="C91"/>
      <c r="D91"/>
      <c r="E91"/>
      <c r="F91" s="81"/>
      <c r="G91" s="50"/>
      <c r="H91" s="82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>
      <c r="F103" s="2"/>
    </row>
    <row r="104" ht="12.75">
      <c r="F104" s="2"/>
    </row>
    <row r="105" ht="12.75"/>
    <row r="106" ht="12.75"/>
    <row r="107" ht="12.75"/>
    <row r="108" ht="12.75"/>
    <row r="109" ht="12.75"/>
    <row r="110" ht="12.75"/>
    <row r="111" ht="12.75"/>
    <row r="112" ht="12.75">
      <c r="F112" s="2" t="s">
        <v>134</v>
      </c>
    </row>
    <row r="113" ht="12.75">
      <c r="F113" s="2" t="s">
        <v>136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1">
      <selection activeCell="E47" sqref="E47"/>
    </sheetView>
  </sheetViews>
  <sheetFormatPr defaultColWidth="9.140625" defaultRowHeight="12.75"/>
  <cols>
    <col min="1" max="1" width="24.7109375" style="305" customWidth="1"/>
    <col min="2" max="3" width="13.140625" style="305" customWidth="1"/>
    <col min="4" max="4" width="14.00390625" style="305" customWidth="1"/>
    <col min="5" max="5" width="16.57421875" style="305" customWidth="1"/>
    <col min="6" max="6" width="13.57421875" style="305" customWidth="1"/>
    <col min="7" max="7" width="9.7109375" style="305" customWidth="1"/>
    <col min="8" max="9" width="8.8515625" style="305" customWidth="1"/>
    <col min="10" max="10" width="14.8515625" style="305" customWidth="1"/>
    <col min="11" max="16384" width="8.00390625" style="305" customWidth="1"/>
  </cols>
  <sheetData>
    <row r="1" spans="1:11" ht="12.75" customHeight="1">
      <c r="A1" s="318" t="s">
        <v>634</v>
      </c>
      <c r="B1" s="318"/>
      <c r="C1" s="318"/>
      <c r="D1" s="318"/>
      <c r="E1" s="318"/>
      <c r="F1" s="318"/>
      <c r="G1" s="318"/>
      <c r="H1" s="318"/>
      <c r="I1" s="318"/>
      <c r="J1" s="505" t="s">
        <v>635</v>
      </c>
      <c r="K1" s="390"/>
    </row>
    <row r="2" spans="1:10" ht="12">
      <c r="A2" s="340"/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">
      <c r="A3" s="340"/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5.75">
      <c r="A4" s="405" t="s">
        <v>636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5.75">
      <c r="A5" s="405" t="s">
        <v>637</v>
      </c>
      <c r="B5" s="312"/>
      <c r="C5" s="405"/>
      <c r="D5" s="405"/>
      <c r="E5" s="405"/>
      <c r="F5" s="405"/>
      <c r="G5" s="309"/>
      <c r="H5" s="309"/>
      <c r="I5" s="309"/>
      <c r="J5" s="309"/>
    </row>
    <row r="6" spans="1:10" ht="15.75">
      <c r="A6" s="407"/>
      <c r="B6" s="340"/>
      <c r="C6" s="340"/>
      <c r="D6" s="340"/>
      <c r="E6" s="340"/>
      <c r="F6" s="340"/>
      <c r="G6" s="340"/>
      <c r="H6" s="340"/>
      <c r="I6" s="340"/>
      <c r="J6" s="340"/>
    </row>
    <row r="7" spans="1:10" ht="11.25">
      <c r="A7" s="479"/>
      <c r="B7" s="479"/>
      <c r="C7" s="479"/>
      <c r="D7" s="479"/>
      <c r="E7" s="479"/>
      <c r="F7" s="479"/>
      <c r="G7" s="479"/>
      <c r="H7" s="479"/>
      <c r="I7" s="479"/>
      <c r="J7" s="479" t="s">
        <v>638</v>
      </c>
    </row>
    <row r="8" spans="1:10" ht="56.25">
      <c r="A8" s="506" t="s">
        <v>639</v>
      </c>
      <c r="B8" s="506" t="s">
        <v>640</v>
      </c>
      <c r="C8" s="506" t="s">
        <v>641</v>
      </c>
      <c r="D8" s="506" t="s">
        <v>642</v>
      </c>
      <c r="E8" s="506" t="s">
        <v>643</v>
      </c>
      <c r="F8" s="506" t="s">
        <v>644</v>
      </c>
      <c r="G8" s="506" t="s">
        <v>645</v>
      </c>
      <c r="H8" s="507" t="s">
        <v>646</v>
      </c>
      <c r="I8" s="508"/>
      <c r="J8" s="506" t="s">
        <v>647</v>
      </c>
    </row>
    <row r="9" spans="1:10" ht="11.25">
      <c r="A9" s="506"/>
      <c r="B9" s="506"/>
      <c r="C9" s="506"/>
      <c r="D9" s="506"/>
      <c r="E9" s="506"/>
      <c r="F9" s="506"/>
      <c r="G9" s="506"/>
      <c r="H9" s="506" t="s">
        <v>648</v>
      </c>
      <c r="I9" s="506" t="s">
        <v>649</v>
      </c>
      <c r="J9" s="506"/>
    </row>
    <row r="10" spans="1:10" ht="11.25">
      <c r="A10" s="509">
        <v>1</v>
      </c>
      <c r="B10" s="509">
        <v>2</v>
      </c>
      <c r="C10" s="509">
        <v>3</v>
      </c>
      <c r="D10" s="509">
        <v>4</v>
      </c>
      <c r="E10" s="509">
        <v>5</v>
      </c>
      <c r="F10" s="509">
        <v>6</v>
      </c>
      <c r="G10" s="509">
        <v>7</v>
      </c>
      <c r="H10" s="509">
        <v>8</v>
      </c>
      <c r="I10" s="509">
        <v>9</v>
      </c>
      <c r="J10" s="509">
        <v>10</v>
      </c>
    </row>
    <row r="11" spans="1:10" ht="12">
      <c r="A11" s="322" t="s">
        <v>650</v>
      </c>
      <c r="B11" s="510">
        <f>288000+54000</f>
        <v>342000</v>
      </c>
      <c r="C11" s="510">
        <f>2631434+305416</f>
        <v>2936850</v>
      </c>
      <c r="D11" s="511">
        <f>11186+33535</f>
        <v>44721</v>
      </c>
      <c r="E11" s="510">
        <f>13065626+1471545</f>
        <v>14537171</v>
      </c>
      <c r="F11" s="510">
        <f>8444+2813</f>
        <v>11257</v>
      </c>
      <c r="G11" s="511"/>
      <c r="H11" s="511">
        <v>3750</v>
      </c>
      <c r="I11" s="511"/>
      <c r="J11" s="510">
        <f aca="true" t="shared" si="0" ref="J11:J44">SUM(B11:I11)</f>
        <v>17875749</v>
      </c>
    </row>
    <row r="12" spans="1:10" ht="12">
      <c r="A12" s="322" t="s">
        <v>651</v>
      </c>
      <c r="B12" s="511">
        <f>300000+60000</f>
        <v>360000</v>
      </c>
      <c r="C12" s="511">
        <f>340221+39240</f>
        <v>379461</v>
      </c>
      <c r="D12" s="511">
        <f>1098+3294</f>
        <v>4392</v>
      </c>
      <c r="E12" s="510">
        <f>2075134+235600</f>
        <v>2310734</v>
      </c>
      <c r="F12" s="510">
        <f>7290+2429</f>
        <v>9719</v>
      </c>
      <c r="G12" s="511"/>
      <c r="H12" s="511"/>
      <c r="I12" s="511"/>
      <c r="J12" s="510">
        <f t="shared" si="0"/>
        <v>3064306</v>
      </c>
    </row>
    <row r="13" spans="1:10" ht="12">
      <c r="A13" s="322" t="s">
        <v>652</v>
      </c>
      <c r="B13" s="511">
        <f>548700+20000</f>
        <v>568700</v>
      </c>
      <c r="C13" s="511">
        <f>290122+33608</f>
        <v>323730</v>
      </c>
      <c r="D13" s="511">
        <f>3111+9333</f>
        <v>12444</v>
      </c>
      <c r="E13" s="510">
        <f>1308143+146685</f>
        <v>1454828</v>
      </c>
      <c r="F13" s="511">
        <f>3145+1048</f>
        <v>4193</v>
      </c>
      <c r="G13" s="511"/>
      <c r="H13" s="511"/>
      <c r="I13" s="511"/>
      <c r="J13" s="510">
        <f t="shared" si="0"/>
        <v>2363895</v>
      </c>
    </row>
    <row r="14" spans="1:10" ht="12">
      <c r="A14" s="322" t="s">
        <v>653</v>
      </c>
      <c r="B14" s="511"/>
      <c r="C14" s="511">
        <f>85579+9676</f>
        <v>95255</v>
      </c>
      <c r="D14" s="511">
        <f>585+195</f>
        <v>780</v>
      </c>
      <c r="E14" s="510">
        <f>1021290+114660</f>
        <v>1135950</v>
      </c>
      <c r="F14" s="511">
        <f>883+295</f>
        <v>1178</v>
      </c>
      <c r="G14" s="511"/>
      <c r="H14" s="511"/>
      <c r="I14" s="511"/>
      <c r="J14" s="510">
        <f t="shared" si="0"/>
        <v>1233163</v>
      </c>
    </row>
    <row r="15" spans="1:10" ht="12">
      <c r="A15" s="322" t="s">
        <v>654</v>
      </c>
      <c r="B15" s="511">
        <f>292000+62600</f>
        <v>354600</v>
      </c>
      <c r="C15" s="511">
        <f>428794+49309</f>
        <v>478103</v>
      </c>
      <c r="D15" s="511">
        <f>3294+1098</f>
        <v>4392</v>
      </c>
      <c r="E15" s="510">
        <f>1598944+179989</f>
        <v>1778933</v>
      </c>
      <c r="F15" s="511">
        <f>3208+1070</f>
        <v>4278</v>
      </c>
      <c r="G15" s="511"/>
      <c r="H15" s="511"/>
      <c r="I15" s="511"/>
      <c r="J15" s="510">
        <f t="shared" si="0"/>
        <v>2620306</v>
      </c>
    </row>
    <row r="16" spans="1:10" ht="12">
      <c r="A16" s="322" t="s">
        <v>655</v>
      </c>
      <c r="B16" s="511"/>
      <c r="C16" s="511">
        <f>305774+35507</f>
        <v>341281</v>
      </c>
      <c r="D16" s="511">
        <f>2745+915</f>
        <v>3660</v>
      </c>
      <c r="E16" s="511">
        <f>783199+88037</f>
        <v>871236</v>
      </c>
      <c r="F16" s="511">
        <f>3388+1129</f>
        <v>4517</v>
      </c>
      <c r="G16" s="511"/>
      <c r="H16" s="511"/>
      <c r="I16" s="511"/>
      <c r="J16" s="510">
        <f t="shared" si="0"/>
        <v>1220694</v>
      </c>
    </row>
    <row r="17" spans="1:10" ht="12">
      <c r="A17" s="322" t="s">
        <v>656</v>
      </c>
      <c r="B17" s="511">
        <f>370000+26000</f>
        <v>396000</v>
      </c>
      <c r="C17" s="511">
        <f>41928+100</f>
        <v>42028</v>
      </c>
      <c r="D17" s="511">
        <f>2196+732</f>
        <v>2928</v>
      </c>
      <c r="E17" s="510">
        <f>813871+91208</f>
        <v>905079</v>
      </c>
      <c r="F17" s="511">
        <f>90+30</f>
        <v>120</v>
      </c>
      <c r="G17" s="511"/>
      <c r="H17" s="511"/>
      <c r="I17" s="511"/>
      <c r="J17" s="510">
        <f t="shared" si="0"/>
        <v>1346155</v>
      </c>
    </row>
    <row r="18" spans="1:10" ht="12">
      <c r="A18" s="322" t="s">
        <v>657</v>
      </c>
      <c r="B18" s="511">
        <f>385100+58100</f>
        <v>443200</v>
      </c>
      <c r="C18" s="511">
        <f>289004+33225</f>
        <v>322229</v>
      </c>
      <c r="D18" s="511">
        <f>2196+732</f>
        <v>2928</v>
      </c>
      <c r="E18" s="510">
        <f>1117851+124565</f>
        <v>1242416</v>
      </c>
      <c r="F18" s="511">
        <f>1921+641</f>
        <v>2562</v>
      </c>
      <c r="G18" s="511"/>
      <c r="H18" s="511">
        <v>5130</v>
      </c>
      <c r="I18" s="511"/>
      <c r="J18" s="510">
        <f t="shared" si="0"/>
        <v>2018465</v>
      </c>
    </row>
    <row r="19" spans="1:10" ht="12">
      <c r="A19" s="322" t="s">
        <v>658</v>
      </c>
      <c r="B19" s="511">
        <f>61000+8000</f>
        <v>69000</v>
      </c>
      <c r="C19" s="511">
        <f>329391+37906</f>
        <v>367297</v>
      </c>
      <c r="D19" s="511">
        <f>2745+915</f>
        <v>3660</v>
      </c>
      <c r="E19" s="511">
        <f>675969+75334</f>
        <v>751303</v>
      </c>
      <c r="F19" s="511">
        <f>1761+587</f>
        <v>2348</v>
      </c>
      <c r="G19" s="511"/>
      <c r="H19" s="511">
        <v>1375</v>
      </c>
      <c r="I19" s="511">
        <v>16275</v>
      </c>
      <c r="J19" s="510">
        <f t="shared" si="0"/>
        <v>1211258</v>
      </c>
    </row>
    <row r="20" spans="1:10" ht="12">
      <c r="A20" s="322" t="s">
        <v>659</v>
      </c>
      <c r="B20" s="511">
        <v>148000</v>
      </c>
      <c r="C20" s="511">
        <f>271023+31191</f>
        <v>302214</v>
      </c>
      <c r="D20" s="511">
        <f>4392+1464</f>
        <v>5856</v>
      </c>
      <c r="E20" s="511">
        <f>760271+84726</f>
        <v>844997</v>
      </c>
      <c r="F20" s="511">
        <f>2818+940</f>
        <v>3758</v>
      </c>
      <c r="G20" s="511"/>
      <c r="H20" s="511">
        <v>1750</v>
      </c>
      <c r="I20" s="511">
        <v>11625</v>
      </c>
      <c r="J20" s="510">
        <f t="shared" si="0"/>
        <v>1318200</v>
      </c>
    </row>
    <row r="21" spans="1:10" ht="12">
      <c r="A21" s="322" t="s">
        <v>660</v>
      </c>
      <c r="B21" s="511">
        <f>85000+7500</f>
        <v>92500</v>
      </c>
      <c r="C21" s="511">
        <f>451737+51949</f>
        <v>503686</v>
      </c>
      <c r="D21" s="511">
        <f>3843+1281</f>
        <v>5124</v>
      </c>
      <c r="E21" s="510">
        <f>1289131+143598</f>
        <v>1432729</v>
      </c>
      <c r="F21" s="511">
        <f>1749+583</f>
        <v>2332</v>
      </c>
      <c r="G21" s="511"/>
      <c r="H21" s="511"/>
      <c r="I21" s="511">
        <v>15750</v>
      </c>
      <c r="J21" s="510">
        <f t="shared" si="0"/>
        <v>2052121</v>
      </c>
    </row>
    <row r="22" spans="1:10" ht="12">
      <c r="A22" s="322" t="s">
        <v>661</v>
      </c>
      <c r="B22" s="511">
        <f>60000+30000</f>
        <v>90000</v>
      </c>
      <c r="C22" s="510">
        <f>804097+92518</f>
        <v>896615</v>
      </c>
      <c r="D22" s="511">
        <f>4393+1463</f>
        <v>5856</v>
      </c>
      <c r="E22" s="510">
        <f>1555845+173149</f>
        <v>1728994</v>
      </c>
      <c r="F22" s="511">
        <f>2460+820</f>
        <v>3280</v>
      </c>
      <c r="G22" s="511"/>
      <c r="H22" s="511"/>
      <c r="I22" s="511">
        <v>9000</v>
      </c>
      <c r="J22" s="510">
        <f t="shared" si="0"/>
        <v>2733745</v>
      </c>
    </row>
    <row r="23" spans="1:10" ht="12">
      <c r="A23" s="322" t="s">
        <v>662</v>
      </c>
      <c r="B23" s="511">
        <v>160000</v>
      </c>
      <c r="C23" s="511">
        <f>242128+27827</f>
        <v>269955</v>
      </c>
      <c r="D23" s="511">
        <f>1647+549</f>
        <v>2196</v>
      </c>
      <c r="E23" s="510">
        <f>932087+104803</f>
        <v>1036890</v>
      </c>
      <c r="F23" s="511">
        <f>2434+811</f>
        <v>3245</v>
      </c>
      <c r="G23" s="511"/>
      <c r="H23" s="511">
        <v>5400</v>
      </c>
      <c r="I23" s="511">
        <v>31275</v>
      </c>
      <c r="J23" s="510">
        <f t="shared" si="0"/>
        <v>1508961</v>
      </c>
    </row>
    <row r="24" spans="1:10" ht="12">
      <c r="A24" s="322" t="s">
        <v>663</v>
      </c>
      <c r="B24" s="511">
        <v>65000</v>
      </c>
      <c r="C24" s="511">
        <f>106801+12273</f>
        <v>119074</v>
      </c>
      <c r="D24" s="511">
        <f>2746+914</f>
        <v>3660</v>
      </c>
      <c r="E24" s="510">
        <f>1098899+122559</f>
        <v>1221458</v>
      </c>
      <c r="F24" s="511">
        <f>538+180</f>
        <v>718</v>
      </c>
      <c r="G24" s="511"/>
      <c r="H24" s="511">
        <v>3250</v>
      </c>
      <c r="I24" s="511"/>
      <c r="J24" s="510">
        <f t="shared" si="0"/>
        <v>1413160</v>
      </c>
    </row>
    <row r="25" spans="1:10" ht="12">
      <c r="A25" s="322" t="s">
        <v>664</v>
      </c>
      <c r="B25" s="511">
        <f>250000+50000</f>
        <v>300000</v>
      </c>
      <c r="C25" s="511">
        <f>103864+11943</f>
        <v>115807</v>
      </c>
      <c r="D25" s="511">
        <f>1647+549</f>
        <v>2196</v>
      </c>
      <c r="E25" s="511">
        <f>704595+78534</f>
        <v>783129</v>
      </c>
      <c r="F25" s="511">
        <f>180+60</f>
        <v>240</v>
      </c>
      <c r="G25" s="511"/>
      <c r="H25" s="511"/>
      <c r="I25" s="511"/>
      <c r="J25" s="510">
        <f t="shared" si="0"/>
        <v>1201372</v>
      </c>
    </row>
    <row r="26" spans="1:10" ht="12">
      <c r="A26" s="322" t="s">
        <v>665</v>
      </c>
      <c r="B26" s="511"/>
      <c r="C26" s="511">
        <f>208074+23909</f>
        <v>231983</v>
      </c>
      <c r="D26" s="511">
        <f>2196+732</f>
        <v>2928</v>
      </c>
      <c r="E26" s="510">
        <f>931400+103939</f>
        <v>1035339</v>
      </c>
      <c r="F26" s="511">
        <f>3106+1036</f>
        <v>4142</v>
      </c>
      <c r="G26" s="511"/>
      <c r="H26" s="511">
        <v>1750</v>
      </c>
      <c r="I26" s="511"/>
      <c r="J26" s="510">
        <f t="shared" si="0"/>
        <v>1276142</v>
      </c>
    </row>
    <row r="27" spans="1:10" ht="12">
      <c r="A27" s="322" t="s">
        <v>666</v>
      </c>
      <c r="B27" s="511">
        <f>258850+47150</f>
        <v>306000</v>
      </c>
      <c r="C27" s="511">
        <f>358718+41303</f>
        <v>400021</v>
      </c>
      <c r="D27" s="511">
        <f>2746+914</f>
        <v>3660</v>
      </c>
      <c r="E27" s="510">
        <f>1276627+142603</f>
        <v>1419230</v>
      </c>
      <c r="F27" s="511">
        <f>5054+1684</f>
        <v>6738</v>
      </c>
      <c r="G27" s="511"/>
      <c r="H27" s="511">
        <v>8550</v>
      </c>
      <c r="I27" s="511">
        <v>13800</v>
      </c>
      <c r="J27" s="510">
        <f t="shared" si="0"/>
        <v>2157999</v>
      </c>
    </row>
    <row r="28" spans="1:10" ht="12">
      <c r="A28" s="322" t="s">
        <v>667</v>
      </c>
      <c r="B28" s="511">
        <f>48000+36000</f>
        <v>84000</v>
      </c>
      <c r="C28" s="511">
        <f>107525+12362</f>
        <v>119887</v>
      </c>
      <c r="D28" s="511">
        <f>1746+582</f>
        <v>2328</v>
      </c>
      <c r="E28" s="510">
        <f>933580+105724</f>
        <v>1039304</v>
      </c>
      <c r="F28" s="511">
        <f>2946+982</f>
        <v>3928</v>
      </c>
      <c r="G28" s="511"/>
      <c r="H28" s="511">
        <v>3500</v>
      </c>
      <c r="I28" s="511"/>
      <c r="J28" s="510">
        <f t="shared" si="0"/>
        <v>1252947</v>
      </c>
    </row>
    <row r="29" spans="1:10" ht="12">
      <c r="A29" s="322" t="s">
        <v>668</v>
      </c>
      <c r="B29" s="511">
        <f>904000+201000</f>
        <v>1105000</v>
      </c>
      <c r="C29" s="511">
        <f>347755+39966</f>
        <v>387721</v>
      </c>
      <c r="D29" s="511">
        <f>2745+915</f>
        <v>3660</v>
      </c>
      <c r="E29" s="510">
        <f>1128562+125481</f>
        <v>1254043</v>
      </c>
      <c r="F29" s="511">
        <f>832+278</f>
        <v>1110</v>
      </c>
      <c r="G29" s="511"/>
      <c r="H29" s="511">
        <v>6900</v>
      </c>
      <c r="I29" s="511">
        <v>5250</v>
      </c>
      <c r="J29" s="510">
        <f t="shared" si="0"/>
        <v>2763684</v>
      </c>
    </row>
    <row r="30" spans="1:10" ht="12">
      <c r="A30" s="322" t="s">
        <v>669</v>
      </c>
      <c r="B30" s="511">
        <f>85000+5000</f>
        <v>90000</v>
      </c>
      <c r="C30" s="511">
        <f>404212+46510</f>
        <v>450722</v>
      </c>
      <c r="D30" s="511">
        <f>2745+915</f>
        <v>3660</v>
      </c>
      <c r="E30" s="510">
        <f>1235876+137319</f>
        <v>1373195</v>
      </c>
      <c r="F30" s="511">
        <f>814+271</f>
        <v>1085</v>
      </c>
      <c r="G30" s="511"/>
      <c r="H30" s="511">
        <v>2625</v>
      </c>
      <c r="I30" s="511">
        <v>35625</v>
      </c>
      <c r="J30" s="510">
        <f t="shared" si="0"/>
        <v>1956912</v>
      </c>
    </row>
    <row r="31" spans="1:10" ht="12">
      <c r="A31" s="322" t="s">
        <v>670</v>
      </c>
      <c r="B31" s="511">
        <f>456000+105000</f>
        <v>561000</v>
      </c>
      <c r="C31" s="511">
        <f>123892+14235</f>
        <v>138127</v>
      </c>
      <c r="D31" s="511">
        <f>2745+915</f>
        <v>3660</v>
      </c>
      <c r="E31" s="510">
        <f>1003731+111563</f>
        <v>1115294</v>
      </c>
      <c r="F31" s="511">
        <f>1044+348</f>
        <v>1392</v>
      </c>
      <c r="G31" s="511"/>
      <c r="H31" s="511">
        <v>1750</v>
      </c>
      <c r="I31" s="511">
        <v>3750</v>
      </c>
      <c r="J31" s="510">
        <f t="shared" si="0"/>
        <v>1824973</v>
      </c>
    </row>
    <row r="32" spans="1:10" ht="12">
      <c r="A32" s="322" t="s">
        <v>671</v>
      </c>
      <c r="B32" s="511">
        <v>71000</v>
      </c>
      <c r="C32" s="511">
        <f>111089+12768</f>
        <v>123857</v>
      </c>
      <c r="D32" s="511">
        <f>2745+915</f>
        <v>3660</v>
      </c>
      <c r="E32" s="510">
        <f>844845+95143</f>
        <v>939988</v>
      </c>
      <c r="F32" s="511">
        <f>3727+1243</f>
        <v>4970</v>
      </c>
      <c r="G32" s="511"/>
      <c r="H32" s="511">
        <v>1750</v>
      </c>
      <c r="I32" s="511">
        <v>31500</v>
      </c>
      <c r="J32" s="510">
        <f t="shared" si="0"/>
        <v>1176725</v>
      </c>
    </row>
    <row r="33" spans="1:10" ht="12">
      <c r="A33" s="322" t="s">
        <v>672</v>
      </c>
      <c r="B33" s="511">
        <v>315000</v>
      </c>
      <c r="C33" s="511">
        <f>211993+24385</f>
        <v>236378</v>
      </c>
      <c r="D33" s="511">
        <f>4942+1646</f>
        <v>6588</v>
      </c>
      <c r="E33" s="510">
        <f>1129286+125676</f>
        <v>1254962</v>
      </c>
      <c r="F33" s="511">
        <f>1607+536</f>
        <v>2143</v>
      </c>
      <c r="G33" s="511"/>
      <c r="H33" s="511"/>
      <c r="I33" s="511">
        <v>5250</v>
      </c>
      <c r="J33" s="510">
        <f t="shared" si="0"/>
        <v>1820321</v>
      </c>
    </row>
    <row r="34" spans="1:10" ht="12">
      <c r="A34" s="322" t="s">
        <v>673</v>
      </c>
      <c r="B34" s="511">
        <f>132000+11000</f>
        <v>143000</v>
      </c>
      <c r="C34" s="511">
        <f>214052+24622</f>
        <v>238674</v>
      </c>
      <c r="D34" s="511">
        <f>4393+1463</f>
        <v>5856</v>
      </c>
      <c r="E34" s="510">
        <f>1466602+163372</f>
        <v>1629974</v>
      </c>
      <c r="F34" s="511">
        <f>1134+378</f>
        <v>1512</v>
      </c>
      <c r="G34" s="511"/>
      <c r="H34" s="511"/>
      <c r="I34" s="511"/>
      <c r="J34" s="510">
        <f t="shared" si="0"/>
        <v>2019016</v>
      </c>
    </row>
    <row r="35" spans="1:10" ht="12">
      <c r="A35" s="322" t="s">
        <v>674</v>
      </c>
      <c r="B35" s="511">
        <v>165000</v>
      </c>
      <c r="C35" s="511">
        <f>302829+34868</f>
        <v>337697</v>
      </c>
      <c r="D35" s="511">
        <f>4392+1464</f>
        <v>5856</v>
      </c>
      <c r="E35" s="510">
        <f>1051864+117543</f>
        <v>1169407</v>
      </c>
      <c r="F35" s="511">
        <f>2844+948</f>
        <v>3792</v>
      </c>
      <c r="G35" s="511"/>
      <c r="H35" s="511">
        <v>5800</v>
      </c>
      <c r="I35" s="511">
        <v>7875</v>
      </c>
      <c r="J35" s="510">
        <f t="shared" si="0"/>
        <v>1695427</v>
      </c>
    </row>
    <row r="36" spans="1:10" ht="12">
      <c r="A36" s="322" t="s">
        <v>675</v>
      </c>
      <c r="B36" s="511"/>
      <c r="C36" s="511">
        <f>462629+53180</f>
        <v>515809</v>
      </c>
      <c r="D36" s="511">
        <f>2745+915</f>
        <v>3660</v>
      </c>
      <c r="E36" s="510">
        <f>974928+109549</f>
        <v>1084477</v>
      </c>
      <c r="F36" s="511">
        <f>4760+1585</f>
        <v>6345</v>
      </c>
      <c r="G36" s="511"/>
      <c r="H36" s="511">
        <v>7800</v>
      </c>
      <c r="I36" s="511">
        <v>5250</v>
      </c>
      <c r="J36" s="510">
        <f t="shared" si="0"/>
        <v>1623341</v>
      </c>
    </row>
    <row r="37" spans="1:10" ht="12">
      <c r="A37" s="322" t="s">
        <v>676</v>
      </c>
      <c r="B37" s="511">
        <f>495000+60000</f>
        <v>555000</v>
      </c>
      <c r="C37" s="511">
        <f>420095+48286</f>
        <v>468381</v>
      </c>
      <c r="D37" s="511">
        <f>8784+2928</f>
        <v>11712</v>
      </c>
      <c r="E37" s="510">
        <f>2776968+310127</f>
        <v>3087095</v>
      </c>
      <c r="F37" s="511">
        <f>2120+707</f>
        <v>2827</v>
      </c>
      <c r="G37" s="511"/>
      <c r="H37" s="511">
        <v>10920</v>
      </c>
      <c r="I37" s="511">
        <v>10500</v>
      </c>
      <c r="J37" s="510">
        <f t="shared" si="0"/>
        <v>4146435</v>
      </c>
    </row>
    <row r="38" spans="1:10" ht="12">
      <c r="A38" s="322" t="s">
        <v>677</v>
      </c>
      <c r="B38" s="511">
        <v>255000</v>
      </c>
      <c r="C38" s="511">
        <f>467956+53807</f>
        <v>521763</v>
      </c>
      <c r="D38" s="511">
        <f>2745+915</f>
        <v>3660</v>
      </c>
      <c r="E38" s="510">
        <f>1000282+111398</f>
        <v>1111680</v>
      </c>
      <c r="F38" s="511">
        <f>1090+363</f>
        <v>1453</v>
      </c>
      <c r="G38" s="511"/>
      <c r="H38" s="511"/>
      <c r="I38" s="511"/>
      <c r="J38" s="510">
        <f t="shared" si="0"/>
        <v>1893556</v>
      </c>
    </row>
    <row r="39" spans="1:10" ht="12">
      <c r="A39" s="322" t="s">
        <v>678</v>
      </c>
      <c r="B39" s="511">
        <f>482350+112650</f>
        <v>595000</v>
      </c>
      <c r="C39" s="511">
        <f>172497+32092</f>
        <v>204589</v>
      </c>
      <c r="D39" s="511">
        <f>3843+1281</f>
        <v>5124</v>
      </c>
      <c r="E39" s="510">
        <f>1297303+144159</f>
        <v>1441462</v>
      </c>
      <c r="F39" s="511">
        <f>1736+579</f>
        <v>2315</v>
      </c>
      <c r="G39" s="511"/>
      <c r="H39" s="511">
        <v>4500</v>
      </c>
      <c r="I39" s="511">
        <v>26100</v>
      </c>
      <c r="J39" s="510">
        <f t="shared" si="0"/>
        <v>2279090</v>
      </c>
    </row>
    <row r="40" spans="1:10" ht="12">
      <c r="A40" s="322" t="s">
        <v>679</v>
      </c>
      <c r="B40" s="510">
        <f>178000+15000</f>
        <v>193000</v>
      </c>
      <c r="C40" s="511">
        <f>608796+70314</f>
        <v>679110</v>
      </c>
      <c r="D40" s="511">
        <f>2745+915</f>
        <v>3660</v>
      </c>
      <c r="E40" s="510">
        <f>1326675+147547</f>
        <v>1474222</v>
      </c>
      <c r="F40" s="511">
        <f>1288+429</f>
        <v>1717</v>
      </c>
      <c r="G40" s="510"/>
      <c r="H40" s="510"/>
      <c r="I40" s="510">
        <v>3525</v>
      </c>
      <c r="J40" s="510">
        <f t="shared" si="0"/>
        <v>2355234</v>
      </c>
    </row>
    <row r="41" spans="1:10" ht="12">
      <c r="A41" s="322" t="s">
        <v>680</v>
      </c>
      <c r="B41" s="511">
        <f>290000+45000</f>
        <v>335000</v>
      </c>
      <c r="C41" s="511">
        <f>147515+16963</f>
        <v>164478</v>
      </c>
      <c r="D41" s="511">
        <f>4392+1464</f>
        <v>5856</v>
      </c>
      <c r="E41" s="510">
        <f>864231+96228</f>
        <v>960459</v>
      </c>
      <c r="F41" s="511">
        <f>186+62</f>
        <v>248</v>
      </c>
      <c r="G41" s="510"/>
      <c r="H41" s="510">
        <v>4950</v>
      </c>
      <c r="I41" s="510">
        <v>10500</v>
      </c>
      <c r="J41" s="510">
        <f t="shared" si="0"/>
        <v>1481491</v>
      </c>
    </row>
    <row r="42" spans="1:10" ht="12">
      <c r="A42" s="322" t="s">
        <v>681</v>
      </c>
      <c r="B42" s="511"/>
      <c r="C42" s="511">
        <f>550792+63316</f>
        <v>614108</v>
      </c>
      <c r="D42" s="511">
        <f>4941+1647</f>
        <v>6588</v>
      </c>
      <c r="E42" s="510">
        <f>1576856+175541</f>
        <v>1752397</v>
      </c>
      <c r="F42" s="511">
        <f>223+75</f>
        <v>298</v>
      </c>
      <c r="G42" s="510"/>
      <c r="H42" s="510">
        <v>1750</v>
      </c>
      <c r="I42" s="510">
        <v>13726</v>
      </c>
      <c r="J42" s="510">
        <f t="shared" si="0"/>
        <v>2388867</v>
      </c>
    </row>
    <row r="43" spans="1:10" ht="12">
      <c r="A43" s="322" t="s">
        <v>682</v>
      </c>
      <c r="B43" s="511">
        <f>500+1000+500</f>
        <v>2000</v>
      </c>
      <c r="C43" s="511">
        <f>142835+16427</f>
        <v>159262</v>
      </c>
      <c r="D43" s="511">
        <f>2097+699</f>
        <v>2796</v>
      </c>
      <c r="E43" s="511">
        <f>373335+41481</f>
        <v>414816</v>
      </c>
      <c r="F43" s="511">
        <f>180+60</f>
        <v>240</v>
      </c>
      <c r="G43" s="322"/>
      <c r="H43" s="510"/>
      <c r="I43" s="510">
        <v>4725</v>
      </c>
      <c r="J43" s="510">
        <f t="shared" si="0"/>
        <v>583839</v>
      </c>
    </row>
    <row r="44" spans="1:10" ht="12">
      <c r="A44" s="512" t="s">
        <v>683</v>
      </c>
      <c r="B44" s="513">
        <f>SUM(B11:B43)</f>
        <v>8164000</v>
      </c>
      <c r="C44" s="513">
        <f>SUM(C11:C43)</f>
        <v>13486152</v>
      </c>
      <c r="D44" s="513">
        <f>SUM(D11:D43)</f>
        <v>189705</v>
      </c>
      <c r="E44" s="513">
        <f>SUM(E11:E43)</f>
        <v>55593191</v>
      </c>
      <c r="F44" s="513">
        <f>SUM(F11:F43)</f>
        <v>100000</v>
      </c>
      <c r="G44" s="510"/>
      <c r="H44" s="513">
        <f>SUM(H11:H43)</f>
        <v>83200</v>
      </c>
      <c r="I44" s="513">
        <f>SUM(I11:I43)</f>
        <v>261301</v>
      </c>
      <c r="J44" s="513">
        <f t="shared" si="0"/>
        <v>77877549</v>
      </c>
    </row>
    <row r="45" spans="1:10" ht="12">
      <c r="A45" s="514"/>
      <c r="B45" s="515"/>
      <c r="C45" s="515"/>
      <c r="D45" s="515"/>
      <c r="E45" s="515"/>
      <c r="F45" s="515"/>
      <c r="G45" s="515"/>
      <c r="H45" s="515"/>
      <c r="I45" s="515"/>
      <c r="J45" s="515"/>
    </row>
    <row r="46" spans="1:10" ht="12">
      <c r="A46" s="514"/>
      <c r="B46" s="515"/>
      <c r="C46" s="515"/>
      <c r="D46" s="516"/>
      <c r="E46" s="515"/>
      <c r="F46" s="515"/>
      <c r="G46" s="515"/>
      <c r="H46" s="515"/>
      <c r="I46" s="515"/>
      <c r="J46" s="515"/>
    </row>
    <row r="47" spans="1:10" ht="12">
      <c r="A47" s="514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9" ht="12.75">
      <c r="A48" s="517"/>
      <c r="B48" s="518"/>
      <c r="C48" s="519"/>
      <c r="D48" s="520"/>
      <c r="E48" s="520"/>
      <c r="F48" s="520"/>
      <c r="G48" s="520"/>
      <c r="H48" s="520"/>
      <c r="I48" s="520"/>
    </row>
    <row r="49" spans="1:10" s="340" customFormat="1" ht="12">
      <c r="A49" s="397" t="s">
        <v>466</v>
      </c>
      <c r="B49" s="397"/>
      <c r="C49" s="521"/>
      <c r="D49" s="522"/>
      <c r="E49" s="368"/>
      <c r="F49" s="368"/>
      <c r="G49" s="397" t="s">
        <v>600</v>
      </c>
      <c r="H49" s="522"/>
      <c r="I49" s="368"/>
      <c r="J49" s="339" t="s">
        <v>467</v>
      </c>
    </row>
    <row r="50" spans="1:10" ht="12">
      <c r="A50" s="523"/>
      <c r="B50" s="524"/>
      <c r="C50" s="524"/>
      <c r="D50" s="524"/>
      <c r="E50" s="522"/>
      <c r="F50" s="522"/>
      <c r="G50" s="525"/>
      <c r="H50" s="525"/>
      <c r="I50" s="525"/>
      <c r="J50" s="522"/>
    </row>
    <row r="62" ht="11.25">
      <c r="A62" s="313" t="s">
        <v>601</v>
      </c>
    </row>
    <row r="63" ht="11.25">
      <c r="A63" s="305" t="s">
        <v>602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G1">
      <selection activeCell="G15" sqref="G15"/>
    </sheetView>
  </sheetViews>
  <sheetFormatPr defaultColWidth="9.140625" defaultRowHeight="12.75"/>
  <cols>
    <col min="1" max="1" width="32.57421875" style="48" hidden="1" customWidth="1"/>
    <col min="2" max="2" width="11.57421875" style="48" hidden="1" customWidth="1"/>
    <col min="3" max="3" width="8.8515625" style="83" hidden="1" customWidth="1"/>
    <col min="4" max="4" width="9.8515625" style="48" hidden="1" customWidth="1"/>
    <col min="5" max="5" width="6.57421875" style="48" hidden="1" customWidth="1"/>
    <col min="6" max="6" width="10.140625" style="48" hidden="1" customWidth="1"/>
    <col min="7" max="7" width="34.57421875" style="48" customWidth="1"/>
    <col min="8" max="8" width="8.57421875" style="48" customWidth="1"/>
    <col min="9" max="9" width="7.140625" style="48" customWidth="1"/>
    <col min="10" max="10" width="8.57421875" style="48" customWidth="1"/>
    <col min="11" max="11" width="6.421875" style="48" customWidth="1"/>
    <col min="12" max="12" width="6.28125" style="48" customWidth="1"/>
    <col min="13" max="16384" width="7.8515625" style="48" customWidth="1"/>
  </cols>
  <sheetData>
    <row r="1" spans="6:12" ht="11.25" customHeight="1">
      <c r="F1" s="40" t="s">
        <v>137</v>
      </c>
      <c r="L1" s="40" t="s">
        <v>137</v>
      </c>
    </row>
    <row r="2" spans="1:11" ht="14.25">
      <c r="A2" s="84" t="s">
        <v>138</v>
      </c>
      <c r="B2" s="36"/>
      <c r="C2" s="85"/>
      <c r="D2" s="86"/>
      <c r="E2" s="36"/>
      <c r="G2" s="84" t="s">
        <v>138</v>
      </c>
      <c r="H2" s="36"/>
      <c r="I2" s="84"/>
      <c r="J2" s="86"/>
      <c r="K2" s="36"/>
    </row>
    <row r="3" spans="1:11" ht="6" customHeight="1">
      <c r="A3" s="87"/>
      <c r="B3" s="2"/>
      <c r="C3" s="88"/>
      <c r="D3" s="2"/>
      <c r="E3" s="2"/>
      <c r="G3" s="87"/>
      <c r="H3" s="2"/>
      <c r="I3" s="2"/>
      <c r="J3" s="2"/>
      <c r="K3" s="2"/>
    </row>
    <row r="4" spans="1:11" ht="15.75">
      <c r="A4" s="89" t="s">
        <v>139</v>
      </c>
      <c r="B4" s="84"/>
      <c r="C4" s="85"/>
      <c r="D4" s="84"/>
      <c r="E4" s="84"/>
      <c r="G4" s="89" t="s">
        <v>139</v>
      </c>
      <c r="H4" s="84"/>
      <c r="I4" s="85"/>
      <c r="J4" s="84"/>
      <c r="K4" s="84"/>
    </row>
    <row r="5" spans="1:12" ht="12.75" customHeight="1">
      <c r="A5" s="90"/>
      <c r="B5" s="2"/>
      <c r="C5" s="88"/>
      <c r="D5" s="91"/>
      <c r="E5" s="92"/>
      <c r="F5" s="93" t="s">
        <v>140</v>
      </c>
      <c r="G5" s="90"/>
      <c r="H5" s="2"/>
      <c r="I5" s="2"/>
      <c r="J5" s="91"/>
      <c r="K5" s="92"/>
      <c r="L5" s="93" t="s">
        <v>140</v>
      </c>
    </row>
    <row r="6" spans="1:12" ht="44.25" customHeight="1">
      <c r="A6" s="4" t="s">
        <v>2</v>
      </c>
      <c r="B6" s="4" t="s">
        <v>49</v>
      </c>
      <c r="C6" s="94" t="s">
        <v>141</v>
      </c>
      <c r="D6" s="4" t="s">
        <v>50</v>
      </c>
      <c r="E6" s="4" t="s">
        <v>142</v>
      </c>
      <c r="F6" s="4" t="s">
        <v>143</v>
      </c>
      <c r="G6" s="4" t="s">
        <v>2</v>
      </c>
      <c r="H6" s="4" t="s">
        <v>49</v>
      </c>
      <c r="I6" s="4" t="s">
        <v>141</v>
      </c>
      <c r="J6" s="4" t="s">
        <v>50</v>
      </c>
      <c r="K6" s="4" t="s">
        <v>142</v>
      </c>
      <c r="L6" s="4" t="s">
        <v>143</v>
      </c>
    </row>
    <row r="7" spans="1:12" ht="11.25" customHeight="1">
      <c r="A7" s="3">
        <v>1</v>
      </c>
      <c r="B7" s="95">
        <v>2</v>
      </c>
      <c r="C7" s="96">
        <v>3</v>
      </c>
      <c r="D7" s="97">
        <v>4</v>
      </c>
      <c r="E7" s="97">
        <v>5</v>
      </c>
      <c r="F7" s="95">
        <v>6</v>
      </c>
      <c r="G7" s="3">
        <v>1</v>
      </c>
      <c r="H7" s="95">
        <v>2</v>
      </c>
      <c r="I7" s="97">
        <v>3</v>
      </c>
      <c r="J7" s="97">
        <v>4</v>
      </c>
      <c r="K7" s="97">
        <v>5</v>
      </c>
      <c r="L7" s="95">
        <v>6</v>
      </c>
    </row>
    <row r="8" spans="1:12" ht="15" customHeight="1">
      <c r="A8" s="98" t="s">
        <v>144</v>
      </c>
      <c r="B8" s="6">
        <v>664848446</v>
      </c>
      <c r="C8" s="99">
        <v>0.943</v>
      </c>
      <c r="D8" s="6">
        <v>535708972</v>
      </c>
      <c r="E8" s="62">
        <v>0.81</v>
      </c>
      <c r="F8" s="6">
        <v>59460846</v>
      </c>
      <c r="G8" s="98" t="s">
        <v>144</v>
      </c>
      <c r="H8" s="6">
        <v>664849</v>
      </c>
      <c r="I8" s="100">
        <v>0.943</v>
      </c>
      <c r="J8" s="6">
        <v>535708</v>
      </c>
      <c r="K8" s="101">
        <v>0.806</v>
      </c>
      <c r="L8" s="6">
        <v>59459</v>
      </c>
    </row>
    <row r="9" spans="1:12" ht="12.75">
      <c r="A9" s="102" t="s">
        <v>145</v>
      </c>
      <c r="B9" s="6">
        <v>515297983</v>
      </c>
      <c r="C9" s="99">
        <v>1.007</v>
      </c>
      <c r="D9" s="6">
        <v>440355138</v>
      </c>
      <c r="E9" s="62">
        <v>0.85</v>
      </c>
      <c r="F9" s="6">
        <v>48019470</v>
      </c>
      <c r="G9" s="102" t="s">
        <v>145</v>
      </c>
      <c r="H9" s="103">
        <v>515297</v>
      </c>
      <c r="I9" s="104">
        <v>1.007</v>
      </c>
      <c r="J9" s="103">
        <v>440355</v>
      </c>
      <c r="K9" s="105">
        <v>0.855</v>
      </c>
      <c r="L9" s="103">
        <v>48019</v>
      </c>
    </row>
    <row r="10" spans="1:12" ht="15" customHeight="1">
      <c r="A10" s="106" t="s">
        <v>146</v>
      </c>
      <c r="B10" s="6">
        <v>85300000</v>
      </c>
      <c r="C10" s="107">
        <v>0.987</v>
      </c>
      <c r="D10" s="6">
        <v>76776185</v>
      </c>
      <c r="E10" s="62">
        <v>0.9</v>
      </c>
      <c r="F10" s="6">
        <v>8361596</v>
      </c>
      <c r="G10" s="106" t="s">
        <v>146</v>
      </c>
      <c r="H10" s="8">
        <v>85300</v>
      </c>
      <c r="I10" s="108">
        <v>0.987</v>
      </c>
      <c r="J10" s="8">
        <v>76776</v>
      </c>
      <c r="K10" s="109">
        <v>0.9</v>
      </c>
      <c r="L10" s="8">
        <v>8361</v>
      </c>
    </row>
    <row r="11" spans="1:12" ht="12.75">
      <c r="A11" s="64" t="s">
        <v>147</v>
      </c>
      <c r="B11" s="23">
        <v>85300000</v>
      </c>
      <c r="C11" s="110">
        <v>1.014</v>
      </c>
      <c r="D11" s="23">
        <v>76776185</v>
      </c>
      <c r="E11" s="62">
        <v>0.9</v>
      </c>
      <c r="F11" s="23">
        <v>8361596</v>
      </c>
      <c r="G11" s="64" t="s">
        <v>147</v>
      </c>
      <c r="H11" s="23">
        <v>85300</v>
      </c>
      <c r="I11" s="111">
        <v>1.014</v>
      </c>
      <c r="J11" s="23">
        <v>76776</v>
      </c>
      <c r="K11" s="112">
        <v>0.9</v>
      </c>
      <c r="L11" s="23">
        <v>8361</v>
      </c>
    </row>
    <row r="12" spans="1:12" ht="12.75">
      <c r="A12" s="106" t="s">
        <v>148</v>
      </c>
      <c r="B12" s="6">
        <v>429997983</v>
      </c>
      <c r="C12" s="99">
        <v>1</v>
      </c>
      <c r="D12" s="6">
        <v>357816270</v>
      </c>
      <c r="E12" s="62">
        <v>0.83</v>
      </c>
      <c r="F12" s="6">
        <v>38357325</v>
      </c>
      <c r="G12" s="106" t="s">
        <v>148</v>
      </c>
      <c r="H12" s="8">
        <v>429997</v>
      </c>
      <c r="I12" s="108">
        <v>1</v>
      </c>
      <c r="J12" s="8">
        <v>357816</v>
      </c>
      <c r="K12" s="109">
        <v>0.832</v>
      </c>
      <c r="L12" s="8">
        <v>38357</v>
      </c>
    </row>
    <row r="13" spans="1:12" ht="12.75">
      <c r="A13" s="64" t="s">
        <v>149</v>
      </c>
      <c r="B13" s="23">
        <v>307331592</v>
      </c>
      <c r="C13" s="110">
        <v>1</v>
      </c>
      <c r="D13" s="23">
        <v>257021374</v>
      </c>
      <c r="E13" s="62">
        <v>0.84</v>
      </c>
      <c r="F13" s="23">
        <v>28941286</v>
      </c>
      <c r="G13" s="64" t="s">
        <v>149</v>
      </c>
      <c r="H13" s="23">
        <v>307331</v>
      </c>
      <c r="I13" s="111">
        <v>1</v>
      </c>
      <c r="J13" s="23">
        <v>257021</v>
      </c>
      <c r="K13" s="112">
        <v>0.836</v>
      </c>
      <c r="L13" s="23">
        <v>28941</v>
      </c>
    </row>
    <row r="14" spans="1:12" ht="12.75">
      <c r="A14" s="64" t="s">
        <v>150</v>
      </c>
      <c r="B14" s="23">
        <v>107751391</v>
      </c>
      <c r="C14" s="110">
        <v>0.987</v>
      </c>
      <c r="D14" s="23">
        <v>87928656</v>
      </c>
      <c r="E14" s="62">
        <v>0.82</v>
      </c>
      <c r="F14" s="23">
        <v>8147486</v>
      </c>
      <c r="G14" s="64" t="s">
        <v>150</v>
      </c>
      <c r="H14" s="23">
        <v>107751</v>
      </c>
      <c r="I14" s="111">
        <v>0.987</v>
      </c>
      <c r="J14" s="23">
        <v>87929</v>
      </c>
      <c r="K14" s="112">
        <v>0.816</v>
      </c>
      <c r="L14" s="23">
        <v>8148</v>
      </c>
    </row>
    <row r="15" spans="1:12" ht="15.75" customHeight="1">
      <c r="A15" s="113" t="s">
        <v>151</v>
      </c>
      <c r="B15" s="23">
        <v>14915000</v>
      </c>
      <c r="C15" s="110">
        <v>1</v>
      </c>
      <c r="D15" s="23">
        <v>12866240</v>
      </c>
      <c r="E15" s="62">
        <v>0.86</v>
      </c>
      <c r="F15" s="23">
        <v>1268553</v>
      </c>
      <c r="G15" s="113" t="s">
        <v>151</v>
      </c>
      <c r="H15" s="23">
        <v>14915</v>
      </c>
      <c r="I15" s="111">
        <v>1</v>
      </c>
      <c r="J15" s="23">
        <v>12866</v>
      </c>
      <c r="K15" s="112">
        <v>0.863</v>
      </c>
      <c r="L15" s="23">
        <v>1268</v>
      </c>
    </row>
    <row r="16" spans="1:12" ht="17.25" customHeight="1">
      <c r="A16" s="114" t="s">
        <v>152</v>
      </c>
      <c r="B16" s="23"/>
      <c r="C16" s="110"/>
      <c r="D16" s="23">
        <v>5762683</v>
      </c>
      <c r="E16" s="62" t="s">
        <v>63</v>
      </c>
      <c r="F16" s="23">
        <v>1300549</v>
      </c>
      <c r="G16" s="114" t="s">
        <v>152</v>
      </c>
      <c r="H16" s="8">
        <v>0</v>
      </c>
      <c r="I16" s="108">
        <v>0</v>
      </c>
      <c r="J16" s="8">
        <v>5763</v>
      </c>
      <c r="K16" s="109" t="s">
        <v>63</v>
      </c>
      <c r="L16" s="23">
        <v>1301</v>
      </c>
    </row>
    <row r="17" spans="1:12" ht="15.75" customHeight="1">
      <c r="A17" s="102" t="s">
        <v>153</v>
      </c>
      <c r="B17" s="6">
        <v>83205727</v>
      </c>
      <c r="C17" s="99">
        <v>0.584</v>
      </c>
      <c r="D17" s="6">
        <v>45237121</v>
      </c>
      <c r="E17" s="62">
        <v>0.54</v>
      </c>
      <c r="F17" s="6">
        <v>5236635</v>
      </c>
      <c r="G17" s="102" t="s">
        <v>153</v>
      </c>
      <c r="H17" s="103">
        <v>83207</v>
      </c>
      <c r="I17" s="104">
        <v>0.584</v>
      </c>
      <c r="J17" s="103">
        <v>45236</v>
      </c>
      <c r="K17" s="105">
        <v>0.544</v>
      </c>
      <c r="L17" s="103">
        <v>5235</v>
      </c>
    </row>
    <row r="18" spans="1:12" ht="15.75" customHeight="1">
      <c r="A18" s="115" t="s">
        <v>154</v>
      </c>
      <c r="B18" s="23">
        <v>3464000</v>
      </c>
      <c r="C18" s="110">
        <v>1.217</v>
      </c>
      <c r="D18" s="23">
        <v>4216488</v>
      </c>
      <c r="E18" s="62">
        <v>1.22</v>
      </c>
      <c r="F18" s="23">
        <v>4328</v>
      </c>
      <c r="G18" s="115" t="s">
        <v>154</v>
      </c>
      <c r="H18" s="23">
        <v>3464</v>
      </c>
      <c r="I18" s="111">
        <v>1.217</v>
      </c>
      <c r="J18" s="23">
        <v>4216</v>
      </c>
      <c r="K18" s="112">
        <v>1.217</v>
      </c>
      <c r="L18" s="23">
        <v>4</v>
      </c>
    </row>
    <row r="19" spans="1:12" ht="15" customHeight="1">
      <c r="A19" s="64" t="s">
        <v>155</v>
      </c>
      <c r="B19" s="23">
        <v>8219605</v>
      </c>
      <c r="C19" s="110">
        <v>1</v>
      </c>
      <c r="D19" s="23">
        <v>7726109</v>
      </c>
      <c r="E19" s="62">
        <v>0.94</v>
      </c>
      <c r="F19" s="23">
        <v>1994403</v>
      </c>
      <c r="G19" s="64" t="s">
        <v>155</v>
      </c>
      <c r="H19" s="23">
        <v>8220</v>
      </c>
      <c r="I19" s="111">
        <v>1</v>
      </c>
      <c r="J19" s="23">
        <v>7726</v>
      </c>
      <c r="K19" s="112">
        <v>0.94</v>
      </c>
      <c r="L19" s="23">
        <v>1994</v>
      </c>
    </row>
    <row r="20" spans="1:12" ht="19.5" customHeight="1">
      <c r="A20" s="115" t="s">
        <v>156</v>
      </c>
      <c r="B20" s="23">
        <v>10860000</v>
      </c>
      <c r="C20" s="110">
        <v>0.911</v>
      </c>
      <c r="D20" s="23">
        <v>8365503</v>
      </c>
      <c r="E20" s="62">
        <v>0.77</v>
      </c>
      <c r="F20" s="23">
        <v>997493</v>
      </c>
      <c r="G20" s="115" t="s">
        <v>156</v>
      </c>
      <c r="H20" s="23">
        <v>10860</v>
      </c>
      <c r="I20" s="111">
        <v>0.911</v>
      </c>
      <c r="J20" s="23">
        <v>8366</v>
      </c>
      <c r="K20" s="112">
        <v>0.77</v>
      </c>
      <c r="L20" s="23">
        <v>998</v>
      </c>
    </row>
    <row r="21" spans="1:12" ht="25.5" customHeight="1">
      <c r="A21" s="115" t="s">
        <v>157</v>
      </c>
      <c r="B21" s="23">
        <v>450000</v>
      </c>
      <c r="C21" s="110">
        <v>1.284</v>
      </c>
      <c r="D21" s="23">
        <v>530194</v>
      </c>
      <c r="E21" s="62">
        <v>1.18</v>
      </c>
      <c r="F21" s="23">
        <v>55306</v>
      </c>
      <c r="G21" s="115" t="s">
        <v>157</v>
      </c>
      <c r="H21" s="23">
        <v>450</v>
      </c>
      <c r="I21" s="111">
        <v>1.284</v>
      </c>
      <c r="J21" s="23">
        <v>530</v>
      </c>
      <c r="K21" s="112">
        <v>1.178</v>
      </c>
      <c r="L21" s="23">
        <v>55</v>
      </c>
    </row>
    <row r="22" spans="1:12" ht="15.75" customHeight="1">
      <c r="A22" s="115" t="s">
        <v>158</v>
      </c>
      <c r="B22" s="23">
        <v>702000</v>
      </c>
      <c r="C22" s="110">
        <v>1.04</v>
      </c>
      <c r="D22" s="23">
        <v>744995</v>
      </c>
      <c r="E22" s="62">
        <v>1.06</v>
      </c>
      <c r="F22" s="23">
        <v>13141</v>
      </c>
      <c r="G22" s="115" t="s">
        <v>158</v>
      </c>
      <c r="H22" s="23">
        <v>702</v>
      </c>
      <c r="I22" s="111">
        <v>1.04</v>
      </c>
      <c r="J22" s="23">
        <v>745</v>
      </c>
      <c r="K22" s="112">
        <v>1.061</v>
      </c>
      <c r="L22" s="23">
        <v>13</v>
      </c>
    </row>
    <row r="23" spans="1:12" ht="15.75" customHeight="1">
      <c r="A23" s="64" t="s">
        <v>159</v>
      </c>
      <c r="B23" s="23">
        <v>4250000</v>
      </c>
      <c r="C23" s="110">
        <v>1.068</v>
      </c>
      <c r="D23" s="23">
        <v>4471063</v>
      </c>
      <c r="E23" s="62">
        <v>1.05</v>
      </c>
      <c r="F23" s="23">
        <v>554415</v>
      </c>
      <c r="G23" s="64" t="s">
        <v>159</v>
      </c>
      <c r="H23" s="23">
        <v>4250</v>
      </c>
      <c r="I23" s="111">
        <v>1.068</v>
      </c>
      <c r="J23" s="23">
        <v>4471</v>
      </c>
      <c r="K23" s="112">
        <v>1.052</v>
      </c>
      <c r="L23" s="23">
        <v>554</v>
      </c>
    </row>
    <row r="24" spans="1:12" ht="15.75" customHeight="1">
      <c r="A24" s="64" t="s">
        <v>160</v>
      </c>
      <c r="B24" s="23">
        <v>12496253</v>
      </c>
      <c r="C24" s="110">
        <v>0.966</v>
      </c>
      <c r="D24" s="116">
        <v>12857417</v>
      </c>
      <c r="E24" s="62">
        <v>1.03</v>
      </c>
      <c r="F24" s="23">
        <v>1506124</v>
      </c>
      <c r="G24" s="64" t="s">
        <v>160</v>
      </c>
      <c r="H24" s="23">
        <v>12497</v>
      </c>
      <c r="I24" s="111">
        <v>0.966</v>
      </c>
      <c r="J24" s="23">
        <v>12857</v>
      </c>
      <c r="K24" s="112">
        <v>1.029</v>
      </c>
      <c r="L24" s="23">
        <v>1506</v>
      </c>
    </row>
    <row r="25" spans="1:12" ht="27" customHeight="1">
      <c r="A25" s="117" t="s">
        <v>161</v>
      </c>
      <c r="B25" s="23">
        <v>6000000</v>
      </c>
      <c r="C25" s="110">
        <v>0.894</v>
      </c>
      <c r="D25" s="116">
        <v>5820085</v>
      </c>
      <c r="E25" s="62">
        <v>0.97</v>
      </c>
      <c r="F25" s="23">
        <v>455700</v>
      </c>
      <c r="G25" s="117" t="s">
        <v>161</v>
      </c>
      <c r="H25" s="25">
        <v>6000</v>
      </c>
      <c r="I25" s="118">
        <v>0.894</v>
      </c>
      <c r="J25" s="25">
        <v>5820</v>
      </c>
      <c r="K25" s="119">
        <v>0.97</v>
      </c>
      <c r="L25" s="25">
        <v>456</v>
      </c>
    </row>
    <row r="26" spans="1:12" ht="43.5" customHeight="1">
      <c r="A26" s="117" t="s">
        <v>162</v>
      </c>
      <c r="B26" s="23">
        <v>1503676</v>
      </c>
      <c r="C26" s="110">
        <v>1</v>
      </c>
      <c r="D26" s="116">
        <v>985896</v>
      </c>
      <c r="E26" s="62">
        <v>0.66</v>
      </c>
      <c r="F26" s="23">
        <v>-115198</v>
      </c>
      <c r="G26" s="117" t="s">
        <v>163</v>
      </c>
      <c r="H26" s="25">
        <v>1504</v>
      </c>
      <c r="I26" s="118">
        <v>1</v>
      </c>
      <c r="J26" s="25">
        <v>986</v>
      </c>
      <c r="K26" s="119">
        <v>0.656</v>
      </c>
      <c r="L26" s="25">
        <v>85</v>
      </c>
    </row>
    <row r="27" spans="1:12" ht="18" customHeight="1">
      <c r="A27" s="117" t="s">
        <v>164</v>
      </c>
      <c r="B27" s="23">
        <v>4992577</v>
      </c>
      <c r="C27" s="110">
        <v>1</v>
      </c>
      <c r="D27" s="116">
        <v>6051436</v>
      </c>
      <c r="E27" s="62">
        <v>1.21</v>
      </c>
      <c r="F27" s="23">
        <v>965424</v>
      </c>
      <c r="G27" s="117" t="s">
        <v>164</v>
      </c>
      <c r="H27" s="25">
        <v>4993</v>
      </c>
      <c r="I27" s="118">
        <v>1</v>
      </c>
      <c r="J27" s="25">
        <v>6051</v>
      </c>
      <c r="K27" s="119">
        <v>1.212</v>
      </c>
      <c r="L27" s="25">
        <v>965</v>
      </c>
    </row>
    <row r="28" spans="1:12" ht="15" customHeight="1">
      <c r="A28" s="115" t="s">
        <v>165</v>
      </c>
      <c r="B28" s="23">
        <v>38313869</v>
      </c>
      <c r="C28" s="110">
        <v>0.111</v>
      </c>
      <c r="D28" s="120">
        <v>3636000</v>
      </c>
      <c r="E28" s="62">
        <v>0.09</v>
      </c>
      <c r="F28" s="23">
        <v>0</v>
      </c>
      <c r="G28" s="115" t="s">
        <v>165</v>
      </c>
      <c r="H28" s="23">
        <v>38314</v>
      </c>
      <c r="I28" s="111">
        <v>0.111</v>
      </c>
      <c r="J28" s="23">
        <v>3636</v>
      </c>
      <c r="K28" s="112">
        <v>0.095</v>
      </c>
      <c r="L28" s="23">
        <v>0</v>
      </c>
    </row>
    <row r="29" spans="1:12" ht="27" customHeight="1">
      <c r="A29" s="117" t="s">
        <v>166</v>
      </c>
      <c r="B29" s="23">
        <v>38313869</v>
      </c>
      <c r="C29" s="110">
        <v>0.111</v>
      </c>
      <c r="D29" s="120">
        <v>3636000</v>
      </c>
      <c r="E29" s="62">
        <v>0.09</v>
      </c>
      <c r="F29" s="23">
        <v>0</v>
      </c>
      <c r="G29" s="117" t="s">
        <v>166</v>
      </c>
      <c r="H29" s="25">
        <v>38314</v>
      </c>
      <c r="I29" s="118">
        <v>0.111</v>
      </c>
      <c r="J29" s="25">
        <v>3636</v>
      </c>
      <c r="K29" s="119">
        <v>0.095</v>
      </c>
      <c r="L29" s="25">
        <v>0</v>
      </c>
    </row>
    <row r="30" spans="1:12" ht="15" customHeight="1">
      <c r="A30" s="115" t="s">
        <v>167</v>
      </c>
      <c r="B30" s="23">
        <v>4450000</v>
      </c>
      <c r="C30" s="110">
        <v>1.36</v>
      </c>
      <c r="D30" s="23">
        <v>2689352</v>
      </c>
      <c r="E30" s="62">
        <v>0.6</v>
      </c>
      <c r="F30" s="23">
        <v>111425</v>
      </c>
      <c r="G30" s="115" t="s">
        <v>167</v>
      </c>
      <c r="H30" s="23">
        <v>4450</v>
      </c>
      <c r="I30" s="111">
        <v>1.36</v>
      </c>
      <c r="J30" s="23">
        <v>2689</v>
      </c>
      <c r="K30" s="112">
        <v>0.604</v>
      </c>
      <c r="L30" s="23">
        <v>111</v>
      </c>
    </row>
    <row r="31" spans="1:12" ht="26.25" customHeight="1">
      <c r="A31" s="117" t="s">
        <v>168</v>
      </c>
      <c r="B31" s="23">
        <v>1450000</v>
      </c>
      <c r="C31" s="110">
        <v>1</v>
      </c>
      <c r="D31" s="23">
        <v>1462500</v>
      </c>
      <c r="E31" s="62">
        <v>1.01</v>
      </c>
      <c r="F31" s="23">
        <v>0</v>
      </c>
      <c r="G31" s="117" t="s">
        <v>168</v>
      </c>
      <c r="H31" s="25">
        <v>1450</v>
      </c>
      <c r="I31" s="118">
        <v>1</v>
      </c>
      <c r="J31" s="25">
        <v>1463</v>
      </c>
      <c r="K31" s="119">
        <v>1.009</v>
      </c>
      <c r="L31" s="25">
        <v>0</v>
      </c>
    </row>
    <row r="32" spans="1:12" ht="30.75" customHeight="1">
      <c r="A32" s="117" t="s">
        <v>169</v>
      </c>
      <c r="B32" s="23">
        <v>3000000</v>
      </c>
      <c r="C32" s="110">
        <v>0.873</v>
      </c>
      <c r="D32" s="23">
        <v>1226852</v>
      </c>
      <c r="E32" s="62">
        <v>0.41</v>
      </c>
      <c r="F32" s="23">
        <v>111425</v>
      </c>
      <c r="G32" s="117" t="s">
        <v>169</v>
      </c>
      <c r="H32" s="25">
        <v>3000</v>
      </c>
      <c r="I32" s="118">
        <v>0.873</v>
      </c>
      <c r="J32" s="25">
        <v>1227</v>
      </c>
      <c r="K32" s="119">
        <v>0.409</v>
      </c>
      <c r="L32" s="25">
        <v>112</v>
      </c>
    </row>
    <row r="33" spans="1:12" ht="12.75">
      <c r="A33" s="121" t="s">
        <v>170</v>
      </c>
      <c r="B33" s="6">
        <v>66344736</v>
      </c>
      <c r="C33" s="99">
        <v>0.955</v>
      </c>
      <c r="D33" s="6">
        <v>50116713</v>
      </c>
      <c r="E33" s="62">
        <v>0.76</v>
      </c>
      <c r="F33" s="6">
        <v>6204741</v>
      </c>
      <c r="G33" s="121" t="s">
        <v>170</v>
      </c>
      <c r="H33" s="103">
        <v>66345</v>
      </c>
      <c r="I33" s="104">
        <v>0.955</v>
      </c>
      <c r="J33" s="103">
        <v>50117</v>
      </c>
      <c r="K33" s="105">
        <v>0.755</v>
      </c>
      <c r="L33" s="8">
        <v>6205</v>
      </c>
    </row>
    <row r="34" spans="1:12" ht="22.5">
      <c r="A34" s="115" t="s">
        <v>171</v>
      </c>
      <c r="B34" s="23">
        <v>66344736</v>
      </c>
      <c r="C34" s="110">
        <v>0.955</v>
      </c>
      <c r="D34" s="23">
        <v>50116713</v>
      </c>
      <c r="E34" s="62">
        <v>0.76</v>
      </c>
      <c r="F34" s="23">
        <v>6204741</v>
      </c>
      <c r="G34" s="115" t="s">
        <v>171</v>
      </c>
      <c r="H34" s="23">
        <v>66345</v>
      </c>
      <c r="I34" s="111">
        <v>0.955</v>
      </c>
      <c r="J34" s="23">
        <v>50117</v>
      </c>
      <c r="K34" s="112">
        <v>0.755</v>
      </c>
      <c r="L34" s="23">
        <v>6205</v>
      </c>
    </row>
    <row r="35" spans="1:12" ht="3" customHeight="1">
      <c r="A35" s="122"/>
      <c r="B35" s="123"/>
      <c r="C35" s="124"/>
      <c r="D35" s="123">
        <v>0</v>
      </c>
      <c r="E35" s="125"/>
      <c r="F35" s="23"/>
      <c r="G35" s="122"/>
      <c r="H35" s="123"/>
      <c r="I35" s="126"/>
      <c r="J35" s="123"/>
      <c r="K35" s="125"/>
      <c r="L35" s="127"/>
    </row>
    <row r="36" spans="1:11" ht="12.75">
      <c r="A36" s="128" t="s">
        <v>172</v>
      </c>
      <c r="B36" s="123"/>
      <c r="C36" s="124"/>
      <c r="D36" s="123"/>
      <c r="E36" s="125"/>
      <c r="G36" s="128" t="s">
        <v>173</v>
      </c>
      <c r="H36" s="123"/>
      <c r="I36" s="126"/>
      <c r="J36" s="123"/>
      <c r="K36" s="125"/>
    </row>
    <row r="37" spans="1:11" ht="12.75">
      <c r="A37" s="128" t="s">
        <v>174</v>
      </c>
      <c r="B37" s="123"/>
      <c r="C37" s="124"/>
      <c r="D37" s="123"/>
      <c r="E37" s="125"/>
      <c r="G37" s="128" t="s">
        <v>175</v>
      </c>
      <c r="H37" s="123"/>
      <c r="I37" s="126"/>
      <c r="J37" s="123"/>
      <c r="K37" s="125"/>
    </row>
    <row r="38" spans="1:11" ht="13.5" customHeight="1">
      <c r="A38" s="128"/>
      <c r="B38" s="129"/>
      <c r="C38" s="85"/>
      <c r="D38" s="130"/>
      <c r="E38" s="130"/>
      <c r="G38" s="128"/>
      <c r="H38" s="129"/>
      <c r="I38" s="129"/>
      <c r="J38" s="130"/>
      <c r="K38" s="130"/>
    </row>
    <row r="39" spans="1:11" ht="29.25" customHeight="1">
      <c r="A39" s="2" t="s">
        <v>176</v>
      </c>
      <c r="B39" s="33"/>
      <c r="C39" s="88"/>
      <c r="D39" s="34"/>
      <c r="E39" s="131"/>
      <c r="G39" s="2" t="s">
        <v>176</v>
      </c>
      <c r="H39" s="2"/>
      <c r="I39" s="2"/>
      <c r="J39" s="2"/>
      <c r="K39" s="131"/>
    </row>
    <row r="40" spans="1:11" ht="32.25" customHeight="1">
      <c r="A40" s="128"/>
      <c r="B40" s="132"/>
      <c r="C40" s="88"/>
      <c r="D40" s="133"/>
      <c r="E40" s="131"/>
      <c r="G40" s="2"/>
      <c r="H40" s="2"/>
      <c r="I40" s="2"/>
      <c r="J40" s="2"/>
      <c r="K40" s="131"/>
    </row>
    <row r="41" spans="1:11" ht="12.75">
      <c r="A41" s="2" t="s">
        <v>134</v>
      </c>
      <c r="B41" s="2"/>
      <c r="C41" s="88"/>
      <c r="D41" s="2"/>
      <c r="E41" s="2"/>
      <c r="G41" s="2"/>
      <c r="H41" s="2"/>
      <c r="I41" s="2"/>
      <c r="J41" s="2"/>
      <c r="K41" s="2"/>
    </row>
    <row r="42" spans="1:7" ht="12.75">
      <c r="A42" s="2" t="s">
        <v>136</v>
      </c>
      <c r="B42" s="2"/>
      <c r="C42" s="88"/>
      <c r="D42" s="2"/>
      <c r="E42" s="2"/>
      <c r="G42" s="2" t="s">
        <v>134</v>
      </c>
    </row>
    <row r="43" spans="1:11" ht="12.75" hidden="1">
      <c r="A43" s="2"/>
      <c r="B43" s="133"/>
      <c r="C43" s="88"/>
      <c r="D43" s="133"/>
      <c r="E43" s="2"/>
      <c r="G43" s="2" t="s">
        <v>136</v>
      </c>
      <c r="H43" s="133"/>
      <c r="I43" s="133"/>
      <c r="J43" s="133"/>
      <c r="K43" s="2"/>
    </row>
    <row r="44" ht="12.75">
      <c r="G44" s="2" t="s">
        <v>136</v>
      </c>
    </row>
    <row r="46" spans="1:7" ht="12.75">
      <c r="A46" s="2"/>
      <c r="B46" s="2"/>
      <c r="C46" s="88"/>
      <c r="D46" s="2"/>
      <c r="E46" s="2"/>
      <c r="G46" s="2"/>
    </row>
    <row r="47" ht="12.75">
      <c r="G47" s="2"/>
    </row>
    <row r="48" ht="12.75" hidden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53"/>
  <sheetViews>
    <sheetView workbookViewId="0" topLeftCell="H1">
      <selection activeCell="P8" sqref="P8"/>
    </sheetView>
  </sheetViews>
  <sheetFormatPr defaultColWidth="9.140625" defaultRowHeight="12.75"/>
  <cols>
    <col min="1" max="1" width="23.140625" style="48" hidden="1" customWidth="1"/>
    <col min="2" max="2" width="11.421875" style="48" hidden="1" customWidth="1"/>
    <col min="3" max="3" width="11.57421875" style="48" hidden="1" customWidth="1"/>
    <col min="4" max="4" width="11.00390625" style="48" hidden="1" customWidth="1"/>
    <col min="5" max="5" width="6.421875" style="48" hidden="1" customWidth="1"/>
    <col min="6" max="6" width="7.7109375" style="48" hidden="1" customWidth="1"/>
    <col min="7" max="7" width="9.8515625" style="48" hidden="1" customWidth="1"/>
    <col min="8" max="8" width="23.57421875" style="48" customWidth="1"/>
    <col min="9" max="9" width="8.8515625" style="48" customWidth="1"/>
    <col min="10" max="10" width="7.8515625" style="48" customWidth="1"/>
    <col min="11" max="11" width="7.57421875" style="48" customWidth="1"/>
    <col min="12" max="12" width="7.00390625" style="48" customWidth="1"/>
    <col min="13" max="13" width="9.140625" style="48" customWidth="1"/>
    <col min="14" max="14" width="7.28125" style="48" customWidth="1"/>
    <col min="105" max="16384" width="7.8515625" style="48" customWidth="1"/>
  </cols>
  <sheetData>
    <row r="1" spans="1:14" ht="17.25" customHeight="1">
      <c r="A1" s="36" t="s">
        <v>177</v>
      </c>
      <c r="B1" s="36"/>
      <c r="C1" s="84"/>
      <c r="D1" s="36"/>
      <c r="E1" s="36"/>
      <c r="F1" s="84"/>
      <c r="G1" s="48" t="s">
        <v>178</v>
      </c>
      <c r="H1" s="36" t="s">
        <v>177</v>
      </c>
      <c r="I1" s="36"/>
      <c r="J1" s="84"/>
      <c r="K1" s="36"/>
      <c r="L1" s="36"/>
      <c r="M1" s="84"/>
      <c r="N1" s="48" t="s">
        <v>178</v>
      </c>
    </row>
    <row r="2" spans="1:14" ht="6" customHeight="1">
      <c r="A2" s="36"/>
      <c r="B2" s="36"/>
      <c r="C2" s="84"/>
      <c r="D2" s="36"/>
      <c r="E2" s="36"/>
      <c r="F2" s="84"/>
      <c r="G2" s="2"/>
      <c r="H2" s="36"/>
      <c r="I2" s="36"/>
      <c r="J2" s="84"/>
      <c r="K2" s="36"/>
      <c r="L2" s="36"/>
      <c r="M2" s="84"/>
      <c r="N2" s="2"/>
    </row>
    <row r="3" spans="1:14" ht="18.75" customHeight="1">
      <c r="A3" s="89" t="s">
        <v>179</v>
      </c>
      <c r="B3" s="84"/>
      <c r="C3" s="84"/>
      <c r="D3" s="84"/>
      <c r="E3" s="84"/>
      <c r="F3" s="84"/>
      <c r="G3" s="2"/>
      <c r="H3" s="89" t="s">
        <v>179</v>
      </c>
      <c r="I3" s="84"/>
      <c r="J3" s="84"/>
      <c r="K3" s="84"/>
      <c r="L3" s="84"/>
      <c r="M3" s="84"/>
      <c r="N3" s="2"/>
    </row>
    <row r="4" spans="1:14" ht="19.5" customHeight="1">
      <c r="A4" s="89" t="s">
        <v>180</v>
      </c>
      <c r="B4" s="84"/>
      <c r="C4" s="84"/>
      <c r="D4" s="84"/>
      <c r="E4" s="84"/>
      <c r="F4" s="84"/>
      <c r="G4" s="2"/>
      <c r="H4" s="89" t="s">
        <v>180</v>
      </c>
      <c r="I4" s="84"/>
      <c r="J4" s="84"/>
      <c r="K4" s="84"/>
      <c r="L4" s="84"/>
      <c r="M4" s="84"/>
      <c r="N4" s="2"/>
    </row>
    <row r="5" spans="1:14" ht="11.25" customHeight="1">
      <c r="A5" s="2"/>
      <c r="B5" s="2"/>
      <c r="C5" s="2"/>
      <c r="D5" s="91"/>
      <c r="E5" s="40"/>
      <c r="F5" s="2"/>
      <c r="G5" s="2" t="s">
        <v>140</v>
      </c>
      <c r="H5" s="2"/>
      <c r="I5" s="2"/>
      <c r="J5" s="2"/>
      <c r="K5" s="91"/>
      <c r="L5" s="40"/>
      <c r="M5" s="2"/>
      <c r="N5" s="2" t="s">
        <v>140</v>
      </c>
    </row>
    <row r="6" spans="1:14" ht="74.25" customHeight="1">
      <c r="A6" s="4" t="s">
        <v>2</v>
      </c>
      <c r="B6" s="4" t="s">
        <v>49</v>
      </c>
      <c r="C6" s="4" t="s">
        <v>181</v>
      </c>
      <c r="D6" s="4" t="s">
        <v>50</v>
      </c>
      <c r="E6" s="4" t="s">
        <v>182</v>
      </c>
      <c r="F6" s="4" t="s">
        <v>183</v>
      </c>
      <c r="G6" s="4" t="s">
        <v>6</v>
      </c>
      <c r="H6" s="4" t="s">
        <v>2</v>
      </c>
      <c r="I6" s="4" t="s">
        <v>49</v>
      </c>
      <c r="J6" s="4" t="s">
        <v>181</v>
      </c>
      <c r="K6" s="4" t="s">
        <v>50</v>
      </c>
      <c r="L6" s="4" t="s">
        <v>182</v>
      </c>
      <c r="M6" s="4" t="s">
        <v>183</v>
      </c>
      <c r="N6" s="4" t="s">
        <v>6</v>
      </c>
    </row>
    <row r="7" spans="1:14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34">
        <v>7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95">
        <v>7</v>
      </c>
    </row>
    <row r="8" spans="1:104" s="137" customFormat="1" ht="15" customHeight="1">
      <c r="A8" s="98" t="s">
        <v>184</v>
      </c>
      <c r="B8" s="135">
        <v>697570052</v>
      </c>
      <c r="C8" s="135">
        <v>587666346</v>
      </c>
      <c r="D8" s="135">
        <v>557121454</v>
      </c>
      <c r="E8" s="54">
        <v>0.8</v>
      </c>
      <c r="F8" s="54">
        <v>0.95</v>
      </c>
      <c r="G8" s="135">
        <v>62709883</v>
      </c>
      <c r="H8" s="98" t="s">
        <v>184</v>
      </c>
      <c r="I8" s="135">
        <v>697570</v>
      </c>
      <c r="J8" s="135">
        <v>587665</v>
      </c>
      <c r="K8" s="135">
        <v>557122</v>
      </c>
      <c r="L8" s="136">
        <v>0.799</v>
      </c>
      <c r="M8" s="136">
        <v>0.948</v>
      </c>
      <c r="N8" s="135">
        <v>62710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60" customFormat="1" ht="13.5" customHeight="1">
      <c r="A9" s="138" t="s">
        <v>185</v>
      </c>
      <c r="B9" s="27">
        <v>635105733</v>
      </c>
      <c r="C9" s="27">
        <v>532124535</v>
      </c>
      <c r="D9" s="27">
        <v>510806378</v>
      </c>
      <c r="E9" s="62">
        <v>0.8</v>
      </c>
      <c r="F9" s="62">
        <v>0.96</v>
      </c>
      <c r="G9" s="27">
        <v>57312311</v>
      </c>
      <c r="H9" s="138" t="s">
        <v>185</v>
      </c>
      <c r="I9" s="27">
        <v>635106</v>
      </c>
      <c r="J9" s="27">
        <v>532123</v>
      </c>
      <c r="K9" s="27">
        <v>510807</v>
      </c>
      <c r="L9" s="139">
        <v>0.804</v>
      </c>
      <c r="M9" s="139">
        <v>0.96</v>
      </c>
      <c r="N9" s="27">
        <v>57312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4" s="60" customFormat="1" ht="14.25" customHeight="1">
      <c r="A10" s="138" t="s">
        <v>186</v>
      </c>
      <c r="B10" s="27">
        <v>62464319</v>
      </c>
      <c r="C10" s="27">
        <v>55541811</v>
      </c>
      <c r="D10" s="27">
        <v>46315076</v>
      </c>
      <c r="E10" s="62">
        <v>0.74</v>
      </c>
      <c r="F10" s="62">
        <v>0.83</v>
      </c>
      <c r="G10" s="27">
        <v>5397572</v>
      </c>
      <c r="H10" s="138" t="s">
        <v>186</v>
      </c>
      <c r="I10" s="27">
        <v>62464</v>
      </c>
      <c r="J10" s="27">
        <v>55542</v>
      </c>
      <c r="K10" s="27">
        <v>46315</v>
      </c>
      <c r="L10" s="139">
        <v>0.741</v>
      </c>
      <c r="M10" s="139">
        <v>0.834</v>
      </c>
      <c r="N10" s="27">
        <v>5398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04" s="60" customFormat="1" ht="15.75" customHeight="1">
      <c r="A11" s="74" t="s">
        <v>187</v>
      </c>
      <c r="B11" s="140">
        <v>904668</v>
      </c>
      <c r="C11" s="140">
        <v>792942</v>
      </c>
      <c r="D11" s="140">
        <v>764767</v>
      </c>
      <c r="E11" s="54">
        <v>0.85</v>
      </c>
      <c r="F11" s="54">
        <v>0.96</v>
      </c>
      <c r="G11" s="140">
        <v>54869</v>
      </c>
      <c r="H11" s="74" t="s">
        <v>187</v>
      </c>
      <c r="I11" s="141">
        <v>904</v>
      </c>
      <c r="J11" s="141">
        <v>793</v>
      </c>
      <c r="K11" s="141">
        <v>765</v>
      </c>
      <c r="L11" s="142">
        <v>0.846</v>
      </c>
      <c r="M11" s="142">
        <v>0.965</v>
      </c>
      <c r="N11" s="141">
        <v>55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04" s="60" customFormat="1" ht="12.75">
      <c r="A12" s="113" t="s">
        <v>185</v>
      </c>
      <c r="B12" s="143">
        <v>845228</v>
      </c>
      <c r="C12" s="143">
        <v>734502</v>
      </c>
      <c r="D12" s="143">
        <v>734500</v>
      </c>
      <c r="E12" s="62">
        <v>0.87</v>
      </c>
      <c r="F12" s="62">
        <v>1</v>
      </c>
      <c r="G12" s="143">
        <v>54869</v>
      </c>
      <c r="H12" s="113" t="s">
        <v>185</v>
      </c>
      <c r="I12" s="143">
        <v>845</v>
      </c>
      <c r="J12" s="143">
        <v>735</v>
      </c>
      <c r="K12" s="143">
        <v>735</v>
      </c>
      <c r="L12" s="139">
        <v>0.87</v>
      </c>
      <c r="M12" s="139">
        <v>1</v>
      </c>
      <c r="N12" s="143">
        <v>55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60" customFormat="1" ht="12.75">
      <c r="A13" s="113" t="s">
        <v>186</v>
      </c>
      <c r="B13" s="143">
        <v>59440</v>
      </c>
      <c r="C13" s="143">
        <v>58440</v>
      </c>
      <c r="D13" s="143">
        <v>30267</v>
      </c>
      <c r="E13" s="62">
        <v>0.51</v>
      </c>
      <c r="F13" s="62">
        <v>0.52</v>
      </c>
      <c r="G13" s="143">
        <v>0</v>
      </c>
      <c r="H13" s="113" t="s">
        <v>186</v>
      </c>
      <c r="I13" s="143">
        <v>59</v>
      </c>
      <c r="J13" s="143">
        <v>58</v>
      </c>
      <c r="K13" s="143">
        <v>30</v>
      </c>
      <c r="L13" s="139">
        <v>0.508</v>
      </c>
      <c r="M13" s="139">
        <v>0.517</v>
      </c>
      <c r="N13" s="14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60" customFormat="1" ht="16.5" customHeight="1">
      <c r="A14" s="144" t="s">
        <v>188</v>
      </c>
      <c r="B14" s="140">
        <v>6091301</v>
      </c>
      <c r="C14" s="140">
        <v>5113331</v>
      </c>
      <c r="D14" s="140">
        <v>4518122</v>
      </c>
      <c r="E14" s="54">
        <v>0.74</v>
      </c>
      <c r="F14" s="54">
        <v>0.88</v>
      </c>
      <c r="G14" s="140">
        <v>549872</v>
      </c>
      <c r="H14" s="144" t="s">
        <v>188</v>
      </c>
      <c r="I14" s="141">
        <v>6091</v>
      </c>
      <c r="J14" s="141">
        <v>5113</v>
      </c>
      <c r="K14" s="141">
        <v>4518</v>
      </c>
      <c r="L14" s="142">
        <v>0.742</v>
      </c>
      <c r="M14" s="142">
        <v>0.884</v>
      </c>
      <c r="N14" s="141">
        <v>549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60" customFormat="1" ht="12.75">
      <c r="A15" s="113" t="s">
        <v>185</v>
      </c>
      <c r="B15" s="143">
        <v>4992250</v>
      </c>
      <c r="C15" s="143">
        <v>4063859</v>
      </c>
      <c r="D15" s="143">
        <v>3736350</v>
      </c>
      <c r="E15" s="62">
        <v>0.75</v>
      </c>
      <c r="F15" s="62">
        <v>0.92</v>
      </c>
      <c r="G15" s="143">
        <v>415685</v>
      </c>
      <c r="H15" s="113" t="s">
        <v>185</v>
      </c>
      <c r="I15" s="143">
        <v>4992</v>
      </c>
      <c r="J15" s="143">
        <v>4064</v>
      </c>
      <c r="K15" s="143">
        <v>3736</v>
      </c>
      <c r="L15" s="139">
        <v>0.748</v>
      </c>
      <c r="M15" s="139">
        <v>0.919</v>
      </c>
      <c r="N15" s="143">
        <v>415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s="60" customFormat="1" ht="12.75">
      <c r="A16" s="113" t="s">
        <v>186</v>
      </c>
      <c r="B16" s="143">
        <v>1099051</v>
      </c>
      <c r="C16" s="143">
        <v>1049472</v>
      </c>
      <c r="D16" s="143">
        <v>781772</v>
      </c>
      <c r="E16" s="62">
        <v>0.71</v>
      </c>
      <c r="F16" s="62">
        <v>0.74</v>
      </c>
      <c r="G16" s="143">
        <v>134187</v>
      </c>
      <c r="H16" s="113" t="s">
        <v>186</v>
      </c>
      <c r="I16" s="143">
        <v>1099</v>
      </c>
      <c r="J16" s="143">
        <v>1049</v>
      </c>
      <c r="K16" s="143">
        <v>782</v>
      </c>
      <c r="L16" s="139">
        <v>0.712</v>
      </c>
      <c r="M16" s="139">
        <v>0.745</v>
      </c>
      <c r="N16" s="143">
        <v>134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s="60" customFormat="1" ht="13.5" customHeight="1">
      <c r="A17" s="144" t="s">
        <v>189</v>
      </c>
      <c r="B17" s="140">
        <v>3472724</v>
      </c>
      <c r="C17" s="140">
        <v>2967210</v>
      </c>
      <c r="D17" s="140">
        <v>2891412</v>
      </c>
      <c r="E17" s="54">
        <v>0.83</v>
      </c>
      <c r="F17" s="54">
        <v>0.97</v>
      </c>
      <c r="G17" s="140">
        <v>225515</v>
      </c>
      <c r="H17" s="144" t="s">
        <v>189</v>
      </c>
      <c r="I17" s="141">
        <v>3473</v>
      </c>
      <c r="J17" s="141">
        <v>2968</v>
      </c>
      <c r="K17" s="141">
        <v>2891</v>
      </c>
      <c r="L17" s="142">
        <v>0.832</v>
      </c>
      <c r="M17" s="142">
        <v>0.974</v>
      </c>
      <c r="N17" s="141">
        <v>225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0" customFormat="1" ht="12.75">
      <c r="A18" s="113" t="s">
        <v>185</v>
      </c>
      <c r="B18" s="143">
        <v>3265809</v>
      </c>
      <c r="C18" s="143">
        <v>2794571</v>
      </c>
      <c r="D18" s="143">
        <v>2724498</v>
      </c>
      <c r="E18" s="62">
        <v>0.83</v>
      </c>
      <c r="F18" s="62">
        <v>0.97</v>
      </c>
      <c r="G18" s="143">
        <v>208237</v>
      </c>
      <c r="H18" s="113" t="s">
        <v>185</v>
      </c>
      <c r="I18" s="143">
        <v>3266</v>
      </c>
      <c r="J18" s="143">
        <v>2795</v>
      </c>
      <c r="K18" s="143">
        <v>2724</v>
      </c>
      <c r="L18" s="139">
        <v>0.834</v>
      </c>
      <c r="M18" s="139">
        <v>0.975</v>
      </c>
      <c r="N18" s="143">
        <v>208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s="60" customFormat="1" ht="12.75">
      <c r="A19" s="113" t="s">
        <v>186</v>
      </c>
      <c r="B19" s="143">
        <v>206915</v>
      </c>
      <c r="C19" s="143">
        <v>172639</v>
      </c>
      <c r="D19" s="143">
        <v>166914</v>
      </c>
      <c r="E19" s="62">
        <v>0.81</v>
      </c>
      <c r="F19" s="62">
        <v>0.97</v>
      </c>
      <c r="G19" s="143">
        <v>17278</v>
      </c>
      <c r="H19" s="113" t="s">
        <v>186</v>
      </c>
      <c r="I19" s="143">
        <v>207</v>
      </c>
      <c r="J19" s="143">
        <v>173</v>
      </c>
      <c r="K19" s="143">
        <v>167</v>
      </c>
      <c r="L19" s="139">
        <v>0.807</v>
      </c>
      <c r="M19" s="139">
        <v>0.965</v>
      </c>
      <c r="N19" s="143">
        <v>17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60" customFormat="1" ht="15" customHeight="1">
      <c r="A20" s="144" t="s">
        <v>190</v>
      </c>
      <c r="B20" s="140">
        <v>33198959</v>
      </c>
      <c r="C20" s="140">
        <v>26819661</v>
      </c>
      <c r="D20" s="140">
        <v>23667785</v>
      </c>
      <c r="E20" s="54">
        <v>0.71</v>
      </c>
      <c r="F20" s="54">
        <v>0.88</v>
      </c>
      <c r="G20" s="140">
        <v>3282950</v>
      </c>
      <c r="H20" s="144" t="s">
        <v>190</v>
      </c>
      <c r="I20" s="141">
        <v>33199</v>
      </c>
      <c r="J20" s="141">
        <v>26819</v>
      </c>
      <c r="K20" s="141">
        <v>23668</v>
      </c>
      <c r="L20" s="142">
        <v>0.713</v>
      </c>
      <c r="M20" s="142">
        <v>0.883</v>
      </c>
      <c r="N20" s="141">
        <v>3283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60" customFormat="1" ht="12.75">
      <c r="A21" s="113" t="s">
        <v>185</v>
      </c>
      <c r="B21" s="143">
        <v>29258899</v>
      </c>
      <c r="C21" s="143">
        <v>23703213</v>
      </c>
      <c r="D21" s="143">
        <v>22026828</v>
      </c>
      <c r="E21" s="62">
        <v>0.75</v>
      </c>
      <c r="F21" s="62">
        <v>0.93</v>
      </c>
      <c r="G21" s="143">
        <v>2950795</v>
      </c>
      <c r="H21" s="113" t="s">
        <v>185</v>
      </c>
      <c r="I21" s="143">
        <v>29259</v>
      </c>
      <c r="J21" s="143">
        <v>23703</v>
      </c>
      <c r="K21" s="143">
        <v>22027</v>
      </c>
      <c r="L21" s="139">
        <v>0.753</v>
      </c>
      <c r="M21" s="139">
        <v>0.929</v>
      </c>
      <c r="N21" s="143">
        <v>2951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60" customFormat="1" ht="12.75">
      <c r="A22" s="113" t="s">
        <v>186</v>
      </c>
      <c r="B22" s="143">
        <v>3940060</v>
      </c>
      <c r="C22" s="143">
        <v>3116448</v>
      </c>
      <c r="D22" s="143">
        <v>1640957</v>
      </c>
      <c r="E22" s="62">
        <v>0.42</v>
      </c>
      <c r="F22" s="62">
        <v>0.53</v>
      </c>
      <c r="G22" s="143">
        <v>332155</v>
      </c>
      <c r="H22" s="113" t="s">
        <v>186</v>
      </c>
      <c r="I22" s="143">
        <v>3940</v>
      </c>
      <c r="J22" s="143">
        <v>3116</v>
      </c>
      <c r="K22" s="143">
        <v>1641</v>
      </c>
      <c r="L22" s="139">
        <v>0.416</v>
      </c>
      <c r="M22" s="139">
        <v>0.527</v>
      </c>
      <c r="N22" s="143">
        <v>332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0" customFormat="1" ht="16.5" customHeight="1">
      <c r="A23" s="144" t="s">
        <v>191</v>
      </c>
      <c r="B23" s="140">
        <v>10849663</v>
      </c>
      <c r="C23" s="140">
        <v>9487177</v>
      </c>
      <c r="D23" s="140">
        <v>8934070</v>
      </c>
      <c r="E23" s="54">
        <v>0.82</v>
      </c>
      <c r="F23" s="54">
        <v>0.94</v>
      </c>
      <c r="G23" s="140">
        <v>1283512</v>
      </c>
      <c r="H23" s="144" t="s">
        <v>191</v>
      </c>
      <c r="I23" s="141">
        <v>10850</v>
      </c>
      <c r="J23" s="141">
        <v>9487</v>
      </c>
      <c r="K23" s="141">
        <v>8934</v>
      </c>
      <c r="L23" s="142">
        <v>0.823</v>
      </c>
      <c r="M23" s="142">
        <v>0.942</v>
      </c>
      <c r="N23" s="141">
        <v>1283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60" customFormat="1" ht="12.75">
      <c r="A24" s="113" t="s">
        <v>185</v>
      </c>
      <c r="B24" s="143">
        <v>10533064</v>
      </c>
      <c r="C24" s="143">
        <v>9174578</v>
      </c>
      <c r="D24" s="143">
        <v>8615825</v>
      </c>
      <c r="E24" s="62">
        <v>0.82</v>
      </c>
      <c r="F24" s="62">
        <v>0.94</v>
      </c>
      <c r="G24" s="143">
        <v>1201845</v>
      </c>
      <c r="H24" s="113" t="s">
        <v>185</v>
      </c>
      <c r="I24" s="143">
        <v>10533</v>
      </c>
      <c r="J24" s="143">
        <v>9175</v>
      </c>
      <c r="K24" s="143">
        <v>8616</v>
      </c>
      <c r="L24" s="139">
        <v>0.818</v>
      </c>
      <c r="M24" s="139">
        <v>0.939</v>
      </c>
      <c r="N24" s="143">
        <v>1202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60" customFormat="1" ht="12.75">
      <c r="A25" s="113" t="s">
        <v>186</v>
      </c>
      <c r="B25" s="143">
        <v>316599</v>
      </c>
      <c r="C25" s="143">
        <v>312599</v>
      </c>
      <c r="D25" s="143">
        <v>318245</v>
      </c>
      <c r="E25" s="62">
        <v>1.01</v>
      </c>
      <c r="F25" s="62">
        <v>1.02</v>
      </c>
      <c r="G25" s="143">
        <v>81667</v>
      </c>
      <c r="H25" s="113" t="s">
        <v>186</v>
      </c>
      <c r="I25" s="143">
        <v>317</v>
      </c>
      <c r="J25" s="143">
        <v>312</v>
      </c>
      <c r="K25" s="143">
        <v>318</v>
      </c>
      <c r="L25" s="139">
        <v>1.003</v>
      </c>
      <c r="M25" s="139">
        <v>1.019</v>
      </c>
      <c r="N25" s="143">
        <v>81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0" customFormat="1" ht="14.25" customHeight="1">
      <c r="A26" s="144" t="s">
        <v>192</v>
      </c>
      <c r="B26" s="140">
        <v>4477300</v>
      </c>
      <c r="C26" s="140">
        <v>3616305</v>
      </c>
      <c r="D26" s="140">
        <v>3508301</v>
      </c>
      <c r="E26" s="54">
        <v>0.78</v>
      </c>
      <c r="F26" s="54">
        <v>0.97</v>
      </c>
      <c r="G26" s="140">
        <v>393148</v>
      </c>
      <c r="H26" s="144" t="s">
        <v>192</v>
      </c>
      <c r="I26" s="141">
        <v>4477</v>
      </c>
      <c r="J26" s="141">
        <v>3617</v>
      </c>
      <c r="K26" s="141">
        <v>3509</v>
      </c>
      <c r="L26" s="142">
        <v>0.784</v>
      </c>
      <c r="M26" s="142">
        <v>0.97</v>
      </c>
      <c r="N26" s="141">
        <v>394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60" customFormat="1" ht="12.75">
      <c r="A27" s="113" t="s">
        <v>185</v>
      </c>
      <c r="B27" s="143">
        <v>4198960</v>
      </c>
      <c r="C27" s="143">
        <v>3371725</v>
      </c>
      <c r="D27" s="143">
        <v>3320789</v>
      </c>
      <c r="E27" s="62">
        <v>0.79</v>
      </c>
      <c r="F27" s="62">
        <v>0.98</v>
      </c>
      <c r="G27" s="143">
        <v>379826</v>
      </c>
      <c r="H27" s="113" t="s">
        <v>185</v>
      </c>
      <c r="I27" s="143">
        <v>4199</v>
      </c>
      <c r="J27" s="143">
        <v>3372</v>
      </c>
      <c r="K27" s="143">
        <v>3321</v>
      </c>
      <c r="L27" s="139">
        <v>0.791</v>
      </c>
      <c r="M27" s="139">
        <v>0.985</v>
      </c>
      <c r="N27" s="143">
        <v>380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60" customFormat="1" ht="12.75">
      <c r="A28" s="113" t="s">
        <v>186</v>
      </c>
      <c r="B28" s="143">
        <v>278340</v>
      </c>
      <c r="C28" s="143">
        <v>244580</v>
      </c>
      <c r="D28" s="143">
        <v>187512</v>
      </c>
      <c r="E28" s="62">
        <v>0.67</v>
      </c>
      <c r="F28" s="62">
        <v>0.77</v>
      </c>
      <c r="G28" s="143">
        <v>13322</v>
      </c>
      <c r="H28" s="113" t="s">
        <v>186</v>
      </c>
      <c r="I28" s="143">
        <v>278</v>
      </c>
      <c r="J28" s="143">
        <v>245</v>
      </c>
      <c r="K28" s="143">
        <v>188</v>
      </c>
      <c r="L28" s="139">
        <v>0.676</v>
      </c>
      <c r="M28" s="139">
        <v>0.767</v>
      </c>
      <c r="N28" s="143">
        <v>14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4.25" customHeight="1">
      <c r="A29" s="144" t="s">
        <v>193</v>
      </c>
      <c r="B29" s="140">
        <v>95479287</v>
      </c>
      <c r="C29" s="140">
        <v>82217514</v>
      </c>
      <c r="D29" s="140">
        <v>72490276</v>
      </c>
      <c r="E29" s="54">
        <v>0.76</v>
      </c>
      <c r="F29" s="54">
        <v>0.88</v>
      </c>
      <c r="G29" s="140">
        <v>10767095</v>
      </c>
      <c r="H29" s="144" t="s">
        <v>193</v>
      </c>
      <c r="I29" s="141">
        <v>95480</v>
      </c>
      <c r="J29" s="141">
        <v>82217</v>
      </c>
      <c r="K29" s="141">
        <v>72490</v>
      </c>
      <c r="L29" s="142">
        <v>0.759</v>
      </c>
      <c r="M29" s="142">
        <v>0.882</v>
      </c>
      <c r="N29" s="141">
        <v>10767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60" customFormat="1" ht="12.75">
      <c r="A30" s="113" t="s">
        <v>185</v>
      </c>
      <c r="B30" s="143">
        <v>85311412</v>
      </c>
      <c r="C30" s="143">
        <v>73804232</v>
      </c>
      <c r="D30" s="143">
        <v>64894247</v>
      </c>
      <c r="E30" s="62">
        <v>0.76</v>
      </c>
      <c r="F30" s="62">
        <v>0.88</v>
      </c>
      <c r="G30" s="143">
        <v>9931839</v>
      </c>
      <c r="H30" s="113" t="s">
        <v>185</v>
      </c>
      <c r="I30" s="143">
        <v>85312</v>
      </c>
      <c r="J30" s="143">
        <v>73804</v>
      </c>
      <c r="K30" s="143">
        <v>64894</v>
      </c>
      <c r="L30" s="139">
        <v>0.761</v>
      </c>
      <c r="M30" s="139">
        <v>0.879</v>
      </c>
      <c r="N30" s="143">
        <v>9932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60" customFormat="1" ht="12.75">
      <c r="A31" s="113" t="s">
        <v>186</v>
      </c>
      <c r="B31" s="143">
        <v>10167875</v>
      </c>
      <c r="C31" s="143">
        <v>8413282</v>
      </c>
      <c r="D31" s="143">
        <v>7596029</v>
      </c>
      <c r="E31" s="62">
        <v>0.75</v>
      </c>
      <c r="F31" s="62">
        <v>0.9</v>
      </c>
      <c r="G31" s="143">
        <v>835256</v>
      </c>
      <c r="H31" s="113" t="s">
        <v>186</v>
      </c>
      <c r="I31" s="143">
        <v>10168</v>
      </c>
      <c r="J31" s="143">
        <v>8413</v>
      </c>
      <c r="K31" s="143">
        <v>7596</v>
      </c>
      <c r="L31" s="139">
        <v>0.747</v>
      </c>
      <c r="M31" s="139">
        <v>0.903</v>
      </c>
      <c r="N31" s="143">
        <v>835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0" customFormat="1" ht="18" customHeight="1">
      <c r="A32" s="144" t="s">
        <v>194</v>
      </c>
      <c r="B32" s="140">
        <v>97612397</v>
      </c>
      <c r="C32" s="140">
        <v>82485318</v>
      </c>
      <c r="D32" s="140">
        <v>77399637</v>
      </c>
      <c r="E32" s="54">
        <v>0.79</v>
      </c>
      <c r="F32" s="54">
        <v>0.94</v>
      </c>
      <c r="G32" s="140">
        <v>7723839</v>
      </c>
      <c r="H32" s="144" t="s">
        <v>194</v>
      </c>
      <c r="I32" s="141">
        <v>97613</v>
      </c>
      <c r="J32" s="141">
        <v>82485</v>
      </c>
      <c r="K32" s="141">
        <v>77400</v>
      </c>
      <c r="L32" s="142">
        <v>0.793</v>
      </c>
      <c r="M32" s="142">
        <v>0.938</v>
      </c>
      <c r="N32" s="141">
        <v>7724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0" customFormat="1" ht="12.75">
      <c r="A33" s="113" t="s">
        <v>185</v>
      </c>
      <c r="B33" s="143">
        <v>83788658</v>
      </c>
      <c r="C33" s="143">
        <v>70365991</v>
      </c>
      <c r="D33" s="143">
        <v>68880743</v>
      </c>
      <c r="E33" s="62">
        <v>0.82</v>
      </c>
      <c r="F33" s="62">
        <v>0.98</v>
      </c>
      <c r="G33" s="143">
        <v>6789092</v>
      </c>
      <c r="H33" s="113" t="s">
        <v>185</v>
      </c>
      <c r="I33" s="143">
        <v>83789</v>
      </c>
      <c r="J33" s="143">
        <v>70366</v>
      </c>
      <c r="K33" s="143">
        <v>68881</v>
      </c>
      <c r="L33" s="139">
        <v>0.822</v>
      </c>
      <c r="M33" s="139">
        <v>0.979</v>
      </c>
      <c r="N33" s="143">
        <v>6789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60" customFormat="1" ht="12.75">
      <c r="A34" s="113" t="s">
        <v>186</v>
      </c>
      <c r="B34" s="143">
        <v>13823739</v>
      </c>
      <c r="C34" s="143">
        <v>12119327</v>
      </c>
      <c r="D34" s="143">
        <v>8518894</v>
      </c>
      <c r="E34" s="62">
        <v>0.62</v>
      </c>
      <c r="F34" s="62">
        <v>0.7</v>
      </c>
      <c r="G34" s="143">
        <v>934747</v>
      </c>
      <c r="H34" s="113" t="s">
        <v>186</v>
      </c>
      <c r="I34" s="143">
        <v>13824</v>
      </c>
      <c r="J34" s="143">
        <v>12119</v>
      </c>
      <c r="K34" s="143">
        <v>8519</v>
      </c>
      <c r="L34" s="139">
        <v>0.616</v>
      </c>
      <c r="M34" s="139">
        <v>0.703</v>
      </c>
      <c r="N34" s="143">
        <v>935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 customHeight="1">
      <c r="A35" s="74" t="s">
        <v>195</v>
      </c>
      <c r="B35" s="140">
        <v>61575955</v>
      </c>
      <c r="C35" s="140">
        <v>51767842</v>
      </c>
      <c r="D35" s="140">
        <v>47407880</v>
      </c>
      <c r="E35" s="54">
        <v>0.77</v>
      </c>
      <c r="F35" s="54">
        <v>0.92</v>
      </c>
      <c r="G35" s="140">
        <v>5024935</v>
      </c>
      <c r="H35" s="74" t="s">
        <v>195</v>
      </c>
      <c r="I35" s="141">
        <v>61576</v>
      </c>
      <c r="J35" s="141">
        <v>51768</v>
      </c>
      <c r="K35" s="141">
        <v>47408</v>
      </c>
      <c r="L35" s="142">
        <v>0.77</v>
      </c>
      <c r="M35" s="142">
        <v>0.916</v>
      </c>
      <c r="N35" s="141">
        <v>5025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60" customFormat="1" ht="14.25" customHeight="1">
      <c r="A36" s="113" t="s">
        <v>185</v>
      </c>
      <c r="B36" s="143">
        <v>56615699</v>
      </c>
      <c r="C36" s="143">
        <v>47024311</v>
      </c>
      <c r="D36" s="143">
        <v>43733431</v>
      </c>
      <c r="E36" s="62">
        <v>0.77</v>
      </c>
      <c r="F36" s="62">
        <v>0.93</v>
      </c>
      <c r="G36" s="143">
        <v>4226189</v>
      </c>
      <c r="H36" s="113" t="s">
        <v>185</v>
      </c>
      <c r="I36" s="143">
        <v>56616</v>
      </c>
      <c r="J36" s="143">
        <v>47024</v>
      </c>
      <c r="K36" s="143">
        <v>43733</v>
      </c>
      <c r="L36" s="139">
        <v>0.772</v>
      </c>
      <c r="M36" s="139">
        <v>0.93</v>
      </c>
      <c r="N36" s="143">
        <v>4226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60" customFormat="1" ht="12.75" customHeight="1">
      <c r="A37" s="113" t="s">
        <v>186</v>
      </c>
      <c r="B37" s="143">
        <v>4960256</v>
      </c>
      <c r="C37" s="143">
        <v>4743531</v>
      </c>
      <c r="D37" s="143">
        <v>3674449</v>
      </c>
      <c r="E37" s="62">
        <v>0.74</v>
      </c>
      <c r="F37" s="62">
        <v>0.77</v>
      </c>
      <c r="G37" s="143">
        <v>798746</v>
      </c>
      <c r="H37" s="113" t="s">
        <v>186</v>
      </c>
      <c r="I37" s="143">
        <v>4960</v>
      </c>
      <c r="J37" s="143">
        <v>4744</v>
      </c>
      <c r="K37" s="143">
        <v>3675</v>
      </c>
      <c r="L37" s="139">
        <v>0.741</v>
      </c>
      <c r="M37" s="139">
        <v>0.775</v>
      </c>
      <c r="N37" s="143">
        <v>799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4" ht="15" customHeight="1">
      <c r="A38" s="144" t="s">
        <v>196</v>
      </c>
      <c r="B38" s="140">
        <v>47956645</v>
      </c>
      <c r="C38" s="140">
        <v>39444221</v>
      </c>
      <c r="D38" s="140">
        <v>38192957</v>
      </c>
      <c r="E38" s="54">
        <v>0.8</v>
      </c>
      <c r="F38" s="54">
        <v>0.97</v>
      </c>
      <c r="G38" s="140">
        <v>4842973</v>
      </c>
      <c r="H38" s="144" t="s">
        <v>196</v>
      </c>
      <c r="I38" s="141">
        <v>47956</v>
      </c>
      <c r="J38" s="141">
        <v>39444</v>
      </c>
      <c r="K38" s="141">
        <v>38193</v>
      </c>
      <c r="L38" s="142">
        <v>0.796</v>
      </c>
      <c r="M38" s="142">
        <v>0.968</v>
      </c>
      <c r="N38" s="141">
        <v>4843</v>
      </c>
    </row>
    <row r="39" spans="1:14" ht="12.75">
      <c r="A39" s="113" t="s">
        <v>185</v>
      </c>
      <c r="B39" s="143">
        <v>44546304</v>
      </c>
      <c r="C39" s="143">
        <v>36251999</v>
      </c>
      <c r="D39" s="143">
        <v>35300965</v>
      </c>
      <c r="E39" s="62">
        <v>0.79</v>
      </c>
      <c r="F39" s="62">
        <v>0.97</v>
      </c>
      <c r="G39" s="143">
        <v>4676782</v>
      </c>
      <c r="H39" s="113" t="s">
        <v>185</v>
      </c>
      <c r="I39" s="143">
        <v>44546</v>
      </c>
      <c r="J39" s="143">
        <v>36252</v>
      </c>
      <c r="K39" s="143">
        <v>35301</v>
      </c>
      <c r="L39" s="139">
        <v>0.792</v>
      </c>
      <c r="M39" s="139">
        <v>0.974</v>
      </c>
      <c r="N39" s="143">
        <v>4677</v>
      </c>
    </row>
    <row r="40" spans="1:14" ht="12.75">
      <c r="A40" s="113" t="s">
        <v>186</v>
      </c>
      <c r="B40" s="143">
        <v>3410341</v>
      </c>
      <c r="C40" s="143">
        <v>3192222</v>
      </c>
      <c r="D40" s="143">
        <v>2891992</v>
      </c>
      <c r="E40" s="62">
        <v>0.85</v>
      </c>
      <c r="F40" s="62">
        <v>0.91</v>
      </c>
      <c r="G40" s="143">
        <v>166191</v>
      </c>
      <c r="H40" s="113" t="s">
        <v>186</v>
      </c>
      <c r="I40" s="143">
        <v>3410</v>
      </c>
      <c r="J40" s="143">
        <v>3192</v>
      </c>
      <c r="K40" s="143">
        <v>2892</v>
      </c>
      <c r="L40" s="139">
        <v>0.848</v>
      </c>
      <c r="M40" s="139">
        <v>0.906</v>
      </c>
      <c r="N40" s="143">
        <v>166</v>
      </c>
    </row>
    <row r="41" spans="1:14" ht="12.75" customHeight="1">
      <c r="A41" s="144" t="s">
        <v>197</v>
      </c>
      <c r="B41" s="140">
        <v>8153796</v>
      </c>
      <c r="C41" s="140">
        <v>6983501</v>
      </c>
      <c r="D41" s="140">
        <v>6601721</v>
      </c>
      <c r="E41" s="54">
        <v>0.81</v>
      </c>
      <c r="F41" s="54">
        <v>0.95</v>
      </c>
      <c r="G41" s="140">
        <v>611548</v>
      </c>
      <c r="H41" s="144" t="s">
        <v>197</v>
      </c>
      <c r="I41" s="141">
        <v>8154</v>
      </c>
      <c r="J41" s="141">
        <v>6984</v>
      </c>
      <c r="K41" s="141">
        <v>6602</v>
      </c>
      <c r="L41" s="142">
        <v>0.81</v>
      </c>
      <c r="M41" s="142">
        <v>0.945</v>
      </c>
      <c r="N41" s="141">
        <v>612</v>
      </c>
    </row>
    <row r="42" spans="1:14" ht="12.75">
      <c r="A42" s="113" t="s">
        <v>185</v>
      </c>
      <c r="B42" s="143">
        <v>4897796</v>
      </c>
      <c r="C42" s="143">
        <v>4094958</v>
      </c>
      <c r="D42" s="143">
        <v>4022779</v>
      </c>
      <c r="E42" s="62">
        <v>0.82</v>
      </c>
      <c r="F42" s="62">
        <v>0.98</v>
      </c>
      <c r="G42" s="143">
        <v>379947</v>
      </c>
      <c r="H42" s="113" t="s">
        <v>185</v>
      </c>
      <c r="I42" s="143">
        <v>4898</v>
      </c>
      <c r="J42" s="143">
        <v>4095</v>
      </c>
      <c r="K42" s="143">
        <v>4023</v>
      </c>
      <c r="L42" s="139">
        <v>0.821</v>
      </c>
      <c r="M42" s="139">
        <v>0.982</v>
      </c>
      <c r="N42" s="143">
        <v>380</v>
      </c>
    </row>
    <row r="43" spans="1:14" ht="12.75">
      <c r="A43" s="113" t="s">
        <v>186</v>
      </c>
      <c r="B43" s="143">
        <v>3256000</v>
      </c>
      <c r="C43" s="143">
        <v>2888543</v>
      </c>
      <c r="D43" s="143">
        <v>2578942</v>
      </c>
      <c r="E43" s="62">
        <v>0.79</v>
      </c>
      <c r="F43" s="62">
        <v>0.89</v>
      </c>
      <c r="G43" s="143">
        <v>231601</v>
      </c>
      <c r="H43" s="113" t="s">
        <v>186</v>
      </c>
      <c r="I43" s="143">
        <v>3256</v>
      </c>
      <c r="J43" s="143">
        <v>2889</v>
      </c>
      <c r="K43" s="143">
        <v>2579</v>
      </c>
      <c r="L43" s="139">
        <v>0.792</v>
      </c>
      <c r="M43" s="139">
        <v>0.893</v>
      </c>
      <c r="N43" s="143">
        <v>232</v>
      </c>
    </row>
    <row r="44" spans="1:14" ht="15" customHeight="1">
      <c r="A44" s="144" t="s">
        <v>198</v>
      </c>
      <c r="B44" s="140">
        <v>158815191</v>
      </c>
      <c r="C44" s="140">
        <v>134118508</v>
      </c>
      <c r="D44" s="140">
        <v>132941333</v>
      </c>
      <c r="E44" s="54">
        <v>0.84</v>
      </c>
      <c r="F44" s="54">
        <v>0.99</v>
      </c>
      <c r="G44" s="140">
        <v>13822848</v>
      </c>
      <c r="H44" s="144" t="s">
        <v>198</v>
      </c>
      <c r="I44" s="141">
        <v>158815</v>
      </c>
      <c r="J44" s="141">
        <v>134119</v>
      </c>
      <c r="K44" s="141">
        <v>132942</v>
      </c>
      <c r="L44" s="142">
        <v>0.837</v>
      </c>
      <c r="M44" s="142">
        <v>0.991</v>
      </c>
      <c r="N44" s="141">
        <v>13823</v>
      </c>
    </row>
    <row r="45" spans="1:14" ht="12.75">
      <c r="A45" s="113" t="s">
        <v>185</v>
      </c>
      <c r="B45" s="143">
        <v>153988269</v>
      </c>
      <c r="C45" s="143">
        <v>129483506</v>
      </c>
      <c r="D45" s="143">
        <v>128693891</v>
      </c>
      <c r="E45" s="62">
        <v>0.84</v>
      </c>
      <c r="F45" s="62">
        <v>0.99</v>
      </c>
      <c r="G45" s="143">
        <v>13503138</v>
      </c>
      <c r="H45" s="113" t="s">
        <v>185</v>
      </c>
      <c r="I45" s="143">
        <v>153988</v>
      </c>
      <c r="J45" s="143">
        <v>129482</v>
      </c>
      <c r="K45" s="143">
        <v>128694</v>
      </c>
      <c r="L45" s="139">
        <v>0.836</v>
      </c>
      <c r="M45" s="139">
        <v>0.994</v>
      </c>
      <c r="N45" s="143">
        <v>13503</v>
      </c>
    </row>
    <row r="46" spans="1:14" ht="12.75">
      <c r="A46" s="113" t="s">
        <v>186</v>
      </c>
      <c r="B46" s="143">
        <v>4826922</v>
      </c>
      <c r="C46" s="143">
        <v>4635002</v>
      </c>
      <c r="D46" s="143">
        <v>4247442</v>
      </c>
      <c r="E46" s="62">
        <v>0.88</v>
      </c>
      <c r="F46" s="62">
        <v>0.92</v>
      </c>
      <c r="G46" s="143">
        <v>319710</v>
      </c>
      <c r="H46" s="113" t="s">
        <v>186</v>
      </c>
      <c r="I46" s="143">
        <v>4827</v>
      </c>
      <c r="J46" s="143">
        <v>4637</v>
      </c>
      <c r="K46" s="143">
        <v>4248</v>
      </c>
      <c r="L46" s="139">
        <v>0.88</v>
      </c>
      <c r="M46" s="139">
        <v>0.916</v>
      </c>
      <c r="N46" s="143">
        <v>320</v>
      </c>
    </row>
    <row r="47" spans="1:14" ht="15.75" customHeight="1">
      <c r="A47" s="144" t="s">
        <v>199</v>
      </c>
      <c r="B47" s="140">
        <v>13929746</v>
      </c>
      <c r="C47" s="140">
        <v>11375692</v>
      </c>
      <c r="D47" s="140">
        <v>10236640</v>
      </c>
      <c r="E47" s="54">
        <v>0.73</v>
      </c>
      <c r="F47" s="54">
        <v>0.9</v>
      </c>
      <c r="G47" s="140">
        <v>1201581</v>
      </c>
      <c r="H47" s="144" t="s">
        <v>199</v>
      </c>
      <c r="I47" s="141">
        <v>13929</v>
      </c>
      <c r="J47" s="141">
        <v>11375</v>
      </c>
      <c r="K47" s="141">
        <v>10237</v>
      </c>
      <c r="L47" s="142">
        <v>0.735</v>
      </c>
      <c r="M47" s="142">
        <v>0.9</v>
      </c>
      <c r="N47" s="141">
        <v>1202</v>
      </c>
    </row>
    <row r="48" spans="1:14" ht="12.75">
      <c r="A48" s="113" t="s">
        <v>185</v>
      </c>
      <c r="B48" s="143">
        <v>12857343</v>
      </c>
      <c r="C48" s="143">
        <v>10434463</v>
      </c>
      <c r="D48" s="143">
        <v>9529708</v>
      </c>
      <c r="E48" s="62">
        <v>0.74</v>
      </c>
      <c r="F48" s="62">
        <v>0.91</v>
      </c>
      <c r="G48" s="143">
        <v>1120950</v>
      </c>
      <c r="H48" s="113" t="s">
        <v>185</v>
      </c>
      <c r="I48" s="143">
        <v>12857</v>
      </c>
      <c r="J48" s="143">
        <v>10434</v>
      </c>
      <c r="K48" s="143">
        <v>9530</v>
      </c>
      <c r="L48" s="139">
        <v>0.741</v>
      </c>
      <c r="M48" s="139">
        <v>0.913</v>
      </c>
      <c r="N48" s="143">
        <v>1121</v>
      </c>
    </row>
    <row r="49" spans="1:14" ht="16.5" customHeight="1">
      <c r="A49" s="113" t="s">
        <v>186</v>
      </c>
      <c r="B49" s="143">
        <v>1072403</v>
      </c>
      <c r="C49" s="143">
        <v>941229</v>
      </c>
      <c r="D49" s="143">
        <v>706932</v>
      </c>
      <c r="E49" s="62">
        <v>0.66</v>
      </c>
      <c r="F49" s="62">
        <v>0.75</v>
      </c>
      <c r="G49" s="143">
        <v>80631</v>
      </c>
      <c r="H49" s="113" t="s">
        <v>186</v>
      </c>
      <c r="I49" s="143">
        <v>1072</v>
      </c>
      <c r="J49" s="143">
        <v>941</v>
      </c>
      <c r="K49" s="143">
        <v>707</v>
      </c>
      <c r="L49" s="139">
        <v>0.66</v>
      </c>
      <c r="M49" s="139">
        <v>0.751</v>
      </c>
      <c r="N49" s="143">
        <v>81</v>
      </c>
    </row>
    <row r="50" spans="1:14" ht="69.75" customHeight="1" hidden="1">
      <c r="A50" s="4" t="s">
        <v>2</v>
      </c>
      <c r="B50" s="4" t="s">
        <v>49</v>
      </c>
      <c r="C50" s="4" t="s">
        <v>181</v>
      </c>
      <c r="D50" s="4" t="s">
        <v>50</v>
      </c>
      <c r="E50" s="4" t="s">
        <v>182</v>
      </c>
      <c r="F50" s="4" t="s">
        <v>183</v>
      </c>
      <c r="G50" s="4" t="s">
        <v>200</v>
      </c>
      <c r="H50" s="4" t="s">
        <v>2</v>
      </c>
      <c r="I50" s="4" t="s">
        <v>49</v>
      </c>
      <c r="J50" s="4" t="s">
        <v>181</v>
      </c>
      <c r="K50" s="4" t="s">
        <v>50</v>
      </c>
      <c r="L50" s="4" t="s">
        <v>182</v>
      </c>
      <c r="M50" s="4" t="s">
        <v>183</v>
      </c>
      <c r="N50" s="4" t="s">
        <v>200</v>
      </c>
    </row>
    <row r="51" spans="1:14" ht="12.75" hidden="1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134">
        <v>7</v>
      </c>
      <c r="H51" s="4">
        <v>1</v>
      </c>
      <c r="I51" s="4">
        <v>2</v>
      </c>
      <c r="J51" s="4">
        <v>3</v>
      </c>
      <c r="K51" s="4">
        <v>4</v>
      </c>
      <c r="L51" s="4">
        <v>5</v>
      </c>
      <c r="M51" s="4">
        <v>6</v>
      </c>
      <c r="N51" s="134">
        <v>7</v>
      </c>
    </row>
    <row r="52" spans="1:14" ht="29.25" customHeight="1">
      <c r="A52" s="74" t="s">
        <v>201</v>
      </c>
      <c r="B52" s="140">
        <v>8048422</v>
      </c>
      <c r="C52" s="140">
        <v>6949823</v>
      </c>
      <c r="D52" s="140">
        <v>6297650</v>
      </c>
      <c r="E52" s="54">
        <v>0.78</v>
      </c>
      <c r="F52" s="54">
        <v>0.91</v>
      </c>
      <c r="G52" s="140">
        <v>591390</v>
      </c>
      <c r="H52" s="74" t="s">
        <v>201</v>
      </c>
      <c r="I52" s="141">
        <v>8049</v>
      </c>
      <c r="J52" s="141">
        <v>6950</v>
      </c>
      <c r="K52" s="141">
        <v>6297</v>
      </c>
      <c r="L52" s="142">
        <v>0.782</v>
      </c>
      <c r="M52" s="142">
        <v>0.906</v>
      </c>
      <c r="N52" s="141">
        <v>591</v>
      </c>
    </row>
    <row r="53" spans="1:14" ht="12.75">
      <c r="A53" s="113" t="s">
        <v>185</v>
      </c>
      <c r="B53" s="143">
        <v>6809854</v>
      </c>
      <c r="C53" s="143">
        <v>5736535</v>
      </c>
      <c r="D53" s="143">
        <v>5206198</v>
      </c>
      <c r="E53" s="54">
        <v>0.76</v>
      </c>
      <c r="F53" s="54">
        <v>0.91</v>
      </c>
      <c r="G53" s="143">
        <v>521722</v>
      </c>
      <c r="H53" s="113" t="s">
        <v>185</v>
      </c>
      <c r="I53" s="143">
        <v>6810</v>
      </c>
      <c r="J53" s="143">
        <v>5737</v>
      </c>
      <c r="K53" s="143">
        <v>5206</v>
      </c>
      <c r="L53" s="139">
        <v>0.764</v>
      </c>
      <c r="M53" s="139">
        <v>0.907</v>
      </c>
      <c r="N53" s="143">
        <v>522</v>
      </c>
    </row>
    <row r="54" spans="1:14" ht="12.75" customHeight="1">
      <c r="A54" s="145" t="s">
        <v>186</v>
      </c>
      <c r="B54" s="143">
        <v>1238568</v>
      </c>
      <c r="C54" s="143">
        <v>1213288</v>
      </c>
      <c r="D54" s="143">
        <v>1091452</v>
      </c>
      <c r="E54" s="54">
        <v>0.88</v>
      </c>
      <c r="F54" s="54">
        <v>0.9</v>
      </c>
      <c r="G54" s="143">
        <v>69668</v>
      </c>
      <c r="H54" s="145" t="s">
        <v>186</v>
      </c>
      <c r="I54" s="143">
        <v>1239</v>
      </c>
      <c r="J54" s="143">
        <v>1213</v>
      </c>
      <c r="K54" s="143">
        <v>1091</v>
      </c>
      <c r="L54" s="139">
        <v>0.881</v>
      </c>
      <c r="M54" s="139">
        <v>0.899</v>
      </c>
      <c r="N54" s="143">
        <v>69</v>
      </c>
    </row>
    <row r="55" spans="1:14" ht="13.5" customHeight="1">
      <c r="A55" s="144" t="s">
        <v>202</v>
      </c>
      <c r="B55" s="140">
        <v>16545997</v>
      </c>
      <c r="C55" s="140">
        <v>14002068</v>
      </c>
      <c r="D55" s="140">
        <v>13423568</v>
      </c>
      <c r="E55" s="54">
        <v>0.81</v>
      </c>
      <c r="F55" s="54">
        <v>0.96</v>
      </c>
      <c r="G55" s="140">
        <v>1324618</v>
      </c>
      <c r="H55" s="144" t="s">
        <v>202</v>
      </c>
      <c r="I55" s="141">
        <v>16546</v>
      </c>
      <c r="J55" s="141">
        <v>14002</v>
      </c>
      <c r="K55" s="141">
        <v>13423</v>
      </c>
      <c r="L55" s="142">
        <v>0.811</v>
      </c>
      <c r="M55" s="142">
        <v>0.959</v>
      </c>
      <c r="N55" s="141">
        <v>1324</v>
      </c>
    </row>
    <row r="56" spans="1:14" ht="12.75">
      <c r="A56" s="113" t="s">
        <v>185</v>
      </c>
      <c r="B56" s="143">
        <v>14168268</v>
      </c>
      <c r="C56" s="143">
        <v>11892869</v>
      </c>
      <c r="D56" s="143">
        <v>11439329</v>
      </c>
      <c r="E56" s="62">
        <v>0.81</v>
      </c>
      <c r="F56" s="62">
        <v>0.96</v>
      </c>
      <c r="G56" s="143">
        <v>1108280</v>
      </c>
      <c r="H56" s="113" t="s">
        <v>185</v>
      </c>
      <c r="I56" s="143">
        <v>14168</v>
      </c>
      <c r="J56" s="143">
        <v>11893</v>
      </c>
      <c r="K56" s="143">
        <v>11439</v>
      </c>
      <c r="L56" s="139">
        <v>0.807</v>
      </c>
      <c r="M56" s="139">
        <v>0.962</v>
      </c>
      <c r="N56" s="143">
        <v>1108</v>
      </c>
    </row>
    <row r="57" spans="1:14" ht="12.75">
      <c r="A57" s="113" t="s">
        <v>186</v>
      </c>
      <c r="B57" s="143">
        <v>2377729</v>
      </c>
      <c r="C57" s="143">
        <v>2109199</v>
      </c>
      <c r="D57" s="143">
        <v>1984239</v>
      </c>
      <c r="E57" s="62">
        <v>0.83</v>
      </c>
      <c r="F57" s="62">
        <v>0.94</v>
      </c>
      <c r="G57" s="143">
        <v>216338</v>
      </c>
      <c r="H57" s="113" t="s">
        <v>186</v>
      </c>
      <c r="I57" s="143">
        <v>2378</v>
      </c>
      <c r="J57" s="143">
        <v>2109</v>
      </c>
      <c r="K57" s="143">
        <v>1984</v>
      </c>
      <c r="L57" s="139">
        <v>0.834</v>
      </c>
      <c r="M57" s="139">
        <v>0.941</v>
      </c>
      <c r="N57" s="143">
        <v>216</v>
      </c>
    </row>
    <row r="58" spans="1:14" ht="12.75">
      <c r="A58" s="144" t="s">
        <v>203</v>
      </c>
      <c r="B58" s="140">
        <v>13854081</v>
      </c>
      <c r="C58" s="140">
        <v>11943570</v>
      </c>
      <c r="D58" s="140">
        <v>10732275</v>
      </c>
      <c r="E58" s="54">
        <v>0.77</v>
      </c>
      <c r="F58" s="54">
        <v>0.9</v>
      </c>
      <c r="G58" s="140">
        <v>985176</v>
      </c>
      <c r="H58" s="144" t="s">
        <v>203</v>
      </c>
      <c r="I58" s="141">
        <v>13854</v>
      </c>
      <c r="J58" s="141">
        <v>11944</v>
      </c>
      <c r="K58" s="141">
        <v>10732</v>
      </c>
      <c r="L58" s="142">
        <v>0.775</v>
      </c>
      <c r="M58" s="142">
        <v>0.899</v>
      </c>
      <c r="N58" s="141">
        <v>985</v>
      </c>
    </row>
    <row r="59" spans="1:14" ht="12.75">
      <c r="A59" s="113" t="s">
        <v>185</v>
      </c>
      <c r="B59" s="143">
        <v>12220283</v>
      </c>
      <c r="C59" s="143">
        <v>10388600</v>
      </c>
      <c r="D59" s="143">
        <v>9557797</v>
      </c>
      <c r="E59" s="62">
        <v>0.78</v>
      </c>
      <c r="F59" s="62">
        <v>0.92</v>
      </c>
      <c r="G59" s="143">
        <v>874125</v>
      </c>
      <c r="H59" s="113" t="s">
        <v>185</v>
      </c>
      <c r="I59" s="143">
        <v>12220</v>
      </c>
      <c r="J59" s="143">
        <v>10389</v>
      </c>
      <c r="K59" s="143">
        <v>9558</v>
      </c>
      <c r="L59" s="139">
        <v>0.782</v>
      </c>
      <c r="M59" s="139">
        <v>0.92</v>
      </c>
      <c r="N59" s="143">
        <v>874</v>
      </c>
    </row>
    <row r="60" spans="1:14" ht="12.75">
      <c r="A60" s="113" t="s">
        <v>186</v>
      </c>
      <c r="B60" s="143">
        <v>1633798</v>
      </c>
      <c r="C60" s="143">
        <v>1554970</v>
      </c>
      <c r="D60" s="143">
        <v>1174478</v>
      </c>
      <c r="E60" s="62">
        <v>0.72</v>
      </c>
      <c r="F60" s="62">
        <v>0.76</v>
      </c>
      <c r="G60" s="143">
        <v>111051</v>
      </c>
      <c r="H60" s="113" t="s">
        <v>186</v>
      </c>
      <c r="I60" s="143">
        <v>1634</v>
      </c>
      <c r="J60" s="143">
        <v>1555</v>
      </c>
      <c r="K60" s="143">
        <v>1174</v>
      </c>
      <c r="L60" s="139">
        <v>0.718</v>
      </c>
      <c r="M60" s="139">
        <v>0.755</v>
      </c>
      <c r="N60" s="143">
        <v>111</v>
      </c>
    </row>
    <row r="61" spans="1:14" ht="12.75">
      <c r="A61" s="144" t="s">
        <v>204</v>
      </c>
      <c r="B61" s="140">
        <v>1254628</v>
      </c>
      <c r="C61" s="140">
        <v>1048288</v>
      </c>
      <c r="D61" s="140">
        <v>945788</v>
      </c>
      <c r="E61" s="54">
        <v>0.75</v>
      </c>
      <c r="F61" s="54">
        <v>0.9</v>
      </c>
      <c r="G61" s="140">
        <v>73203</v>
      </c>
      <c r="H61" s="144" t="s">
        <v>204</v>
      </c>
      <c r="I61" s="141">
        <v>1255</v>
      </c>
      <c r="J61" s="141">
        <v>1048</v>
      </c>
      <c r="K61" s="141">
        <v>946</v>
      </c>
      <c r="L61" s="142">
        <v>0.754</v>
      </c>
      <c r="M61" s="142">
        <v>0.903</v>
      </c>
      <c r="N61" s="141">
        <v>73</v>
      </c>
    </row>
    <row r="62" spans="1:14" ht="12.75">
      <c r="A62" s="113" t="s">
        <v>185</v>
      </c>
      <c r="B62" s="143">
        <v>1212470</v>
      </c>
      <c r="C62" s="143">
        <v>1006130</v>
      </c>
      <c r="D62" s="143">
        <v>906815</v>
      </c>
      <c r="E62" s="62">
        <v>0.75</v>
      </c>
      <c r="F62" s="62">
        <v>0.9</v>
      </c>
      <c r="G62" s="143">
        <v>73203</v>
      </c>
      <c r="H62" s="113" t="s">
        <v>185</v>
      </c>
      <c r="I62" s="143">
        <v>1213</v>
      </c>
      <c r="J62" s="143">
        <v>1006</v>
      </c>
      <c r="K62" s="143">
        <v>907</v>
      </c>
      <c r="L62" s="139">
        <v>0.748</v>
      </c>
      <c r="M62" s="139">
        <v>0.902</v>
      </c>
      <c r="N62" s="143">
        <v>73</v>
      </c>
    </row>
    <row r="63" spans="1:14" ht="12.75">
      <c r="A63" s="113" t="s">
        <v>186</v>
      </c>
      <c r="B63" s="143">
        <v>42158</v>
      </c>
      <c r="C63" s="143">
        <v>42158</v>
      </c>
      <c r="D63" s="143">
        <v>38973</v>
      </c>
      <c r="E63" s="62">
        <v>0.92</v>
      </c>
      <c r="F63" s="62">
        <v>0.92</v>
      </c>
      <c r="G63" s="143">
        <v>0</v>
      </c>
      <c r="H63" s="113" t="s">
        <v>186</v>
      </c>
      <c r="I63" s="143">
        <v>42</v>
      </c>
      <c r="J63" s="143">
        <v>42</v>
      </c>
      <c r="K63" s="143">
        <v>39</v>
      </c>
      <c r="L63" s="139">
        <v>0.929</v>
      </c>
      <c r="M63" s="139">
        <v>0.929</v>
      </c>
      <c r="N63" s="143">
        <v>0</v>
      </c>
    </row>
    <row r="64" spans="1:14" ht="12.75">
      <c r="A64" s="144" t="s">
        <v>205</v>
      </c>
      <c r="B64" s="140">
        <v>741295</v>
      </c>
      <c r="C64" s="140">
        <v>608599</v>
      </c>
      <c r="D64" s="140">
        <v>608247</v>
      </c>
      <c r="E64" s="54">
        <v>0.82</v>
      </c>
      <c r="F64" s="54">
        <v>1</v>
      </c>
      <c r="G64" s="140">
        <v>53763</v>
      </c>
      <c r="H64" s="144" t="s">
        <v>205</v>
      </c>
      <c r="I64" s="141">
        <v>741</v>
      </c>
      <c r="J64" s="141">
        <v>608</v>
      </c>
      <c r="K64" s="141">
        <v>608</v>
      </c>
      <c r="L64" s="142">
        <v>0.821</v>
      </c>
      <c r="M64" s="142">
        <v>1</v>
      </c>
      <c r="N64" s="141">
        <v>54</v>
      </c>
    </row>
    <row r="65" spans="1:14" ht="12.75">
      <c r="A65" s="113" t="s">
        <v>185</v>
      </c>
      <c r="B65" s="143">
        <v>737095</v>
      </c>
      <c r="C65" s="143">
        <v>604399</v>
      </c>
      <c r="D65" s="143">
        <v>604049</v>
      </c>
      <c r="E65" s="62">
        <v>0.82</v>
      </c>
      <c r="F65" s="62">
        <v>1</v>
      </c>
      <c r="G65" s="143">
        <v>53763</v>
      </c>
      <c r="H65" s="113" t="s">
        <v>185</v>
      </c>
      <c r="I65" s="143">
        <v>737</v>
      </c>
      <c r="J65" s="143">
        <v>604</v>
      </c>
      <c r="K65" s="143">
        <v>604</v>
      </c>
      <c r="L65" s="139">
        <v>0.82</v>
      </c>
      <c r="M65" s="139">
        <v>1</v>
      </c>
      <c r="N65" s="143">
        <v>54</v>
      </c>
    </row>
    <row r="66" spans="1:14" ht="15" customHeight="1">
      <c r="A66" s="113" t="s">
        <v>186</v>
      </c>
      <c r="B66" s="143">
        <v>4200</v>
      </c>
      <c r="C66" s="143">
        <v>4200</v>
      </c>
      <c r="D66" s="143">
        <v>4198</v>
      </c>
      <c r="E66" s="62">
        <v>1</v>
      </c>
      <c r="F66" s="62">
        <v>1</v>
      </c>
      <c r="G66" s="143">
        <v>0</v>
      </c>
      <c r="H66" s="113" t="s">
        <v>186</v>
      </c>
      <c r="I66" s="143">
        <v>4</v>
      </c>
      <c r="J66" s="143">
        <v>4</v>
      </c>
      <c r="K66" s="143">
        <v>4</v>
      </c>
      <c r="L66" s="139">
        <v>1</v>
      </c>
      <c r="M66" s="139">
        <v>1</v>
      </c>
      <c r="N66" s="143">
        <v>0</v>
      </c>
    </row>
    <row r="67" spans="1:14" ht="12.75">
      <c r="A67" s="144" t="s">
        <v>206</v>
      </c>
      <c r="B67" s="140">
        <v>348641</v>
      </c>
      <c r="C67" s="140">
        <v>296183</v>
      </c>
      <c r="D67" s="140">
        <v>289145</v>
      </c>
      <c r="E67" s="54">
        <v>0.83</v>
      </c>
      <c r="F67" s="54">
        <v>0.98</v>
      </c>
      <c r="G67" s="140">
        <v>22665</v>
      </c>
      <c r="H67" s="144" t="s">
        <v>206</v>
      </c>
      <c r="I67" s="141">
        <v>349</v>
      </c>
      <c r="J67" s="141">
        <v>296</v>
      </c>
      <c r="K67" s="141">
        <v>289</v>
      </c>
      <c r="L67" s="142">
        <v>0.828</v>
      </c>
      <c r="M67" s="142">
        <v>0.976</v>
      </c>
      <c r="N67" s="141">
        <v>23</v>
      </c>
    </row>
    <row r="68" spans="1:14" ht="12.75">
      <c r="A68" s="113" t="s">
        <v>185</v>
      </c>
      <c r="B68" s="143">
        <v>305141</v>
      </c>
      <c r="C68" s="143">
        <v>252683</v>
      </c>
      <c r="D68" s="143">
        <v>245955</v>
      </c>
      <c r="E68" s="62">
        <v>0.81</v>
      </c>
      <c r="F68" s="62">
        <v>0.97</v>
      </c>
      <c r="G68" s="143">
        <v>22568</v>
      </c>
      <c r="H68" s="113" t="s">
        <v>185</v>
      </c>
      <c r="I68" s="143">
        <v>305</v>
      </c>
      <c r="J68" s="143">
        <v>253</v>
      </c>
      <c r="K68" s="143">
        <v>246</v>
      </c>
      <c r="L68" s="139">
        <v>0.807</v>
      </c>
      <c r="M68" s="139">
        <v>0.972</v>
      </c>
      <c r="N68" s="143">
        <v>23</v>
      </c>
    </row>
    <row r="69" spans="1:14" ht="12.75">
      <c r="A69" s="113" t="s">
        <v>186</v>
      </c>
      <c r="B69" s="143">
        <v>43500</v>
      </c>
      <c r="C69" s="143">
        <v>43500</v>
      </c>
      <c r="D69" s="143">
        <v>43190</v>
      </c>
      <c r="E69" s="62">
        <v>0.99</v>
      </c>
      <c r="F69" s="62">
        <v>0.99</v>
      </c>
      <c r="G69" s="143">
        <v>97</v>
      </c>
      <c r="H69" s="113" t="s">
        <v>186</v>
      </c>
      <c r="I69" s="143">
        <v>44</v>
      </c>
      <c r="J69" s="143">
        <v>43</v>
      </c>
      <c r="K69" s="143">
        <v>43</v>
      </c>
      <c r="L69" s="139">
        <v>0.977</v>
      </c>
      <c r="M69" s="139">
        <v>1</v>
      </c>
      <c r="N69" s="143">
        <v>0</v>
      </c>
    </row>
    <row r="70" spans="1:14" ht="12.75">
      <c r="A70" s="144" t="s">
        <v>207</v>
      </c>
      <c r="B70" s="140">
        <v>6453639</v>
      </c>
      <c r="C70" s="140">
        <v>5483682</v>
      </c>
      <c r="D70" s="140">
        <v>5418901</v>
      </c>
      <c r="E70" s="54">
        <v>0.84</v>
      </c>
      <c r="F70" s="54">
        <v>0.99</v>
      </c>
      <c r="G70" s="140">
        <v>507444</v>
      </c>
      <c r="H70" s="144" t="s">
        <v>207</v>
      </c>
      <c r="I70" s="141">
        <v>6453</v>
      </c>
      <c r="J70" s="141">
        <v>5484</v>
      </c>
      <c r="K70" s="141">
        <v>5419</v>
      </c>
      <c r="L70" s="142">
        <v>0.84</v>
      </c>
      <c r="M70" s="142">
        <v>0.988</v>
      </c>
      <c r="N70" s="141">
        <v>508</v>
      </c>
    </row>
    <row r="71" spans="1:14" ht="12.75">
      <c r="A71" s="113" t="s">
        <v>185</v>
      </c>
      <c r="B71" s="143">
        <v>5920337</v>
      </c>
      <c r="C71" s="143">
        <v>5004622</v>
      </c>
      <c r="D71" s="143">
        <v>4974658</v>
      </c>
      <c r="E71" s="62">
        <v>0.84</v>
      </c>
      <c r="F71" s="62">
        <v>0.99</v>
      </c>
      <c r="G71" s="143">
        <v>474717</v>
      </c>
      <c r="H71" s="113" t="s">
        <v>185</v>
      </c>
      <c r="I71" s="143">
        <v>5920</v>
      </c>
      <c r="J71" s="143">
        <v>5005</v>
      </c>
      <c r="K71" s="143">
        <v>4975</v>
      </c>
      <c r="L71" s="139">
        <v>0.84</v>
      </c>
      <c r="M71" s="139">
        <v>0.994</v>
      </c>
      <c r="N71" s="143">
        <v>475</v>
      </c>
    </row>
    <row r="72" spans="1:14" ht="12.75">
      <c r="A72" s="113" t="s">
        <v>186</v>
      </c>
      <c r="B72" s="143">
        <v>533302</v>
      </c>
      <c r="C72" s="143">
        <v>479060</v>
      </c>
      <c r="D72" s="143">
        <v>444243</v>
      </c>
      <c r="E72" s="62">
        <v>0.83</v>
      </c>
      <c r="F72" s="62">
        <v>0.93</v>
      </c>
      <c r="G72" s="143">
        <v>32727</v>
      </c>
      <c r="H72" s="113" t="s">
        <v>186</v>
      </c>
      <c r="I72" s="143">
        <v>533</v>
      </c>
      <c r="J72" s="143">
        <v>479</v>
      </c>
      <c r="K72" s="143">
        <v>444</v>
      </c>
      <c r="L72" s="139">
        <v>0.833</v>
      </c>
      <c r="M72" s="139">
        <v>0.927</v>
      </c>
      <c r="N72" s="143">
        <v>33</v>
      </c>
    </row>
    <row r="73" spans="1:14" ht="12.75" customHeight="1">
      <c r="A73" s="146" t="s">
        <v>208</v>
      </c>
      <c r="B73" s="140">
        <v>75545</v>
      </c>
      <c r="C73" s="140">
        <v>63920</v>
      </c>
      <c r="D73" s="140">
        <v>60484</v>
      </c>
      <c r="E73" s="54">
        <v>0.8</v>
      </c>
      <c r="F73" s="54">
        <v>0.95</v>
      </c>
      <c r="G73" s="140">
        <v>5808</v>
      </c>
      <c r="H73" s="146" t="s">
        <v>208</v>
      </c>
      <c r="I73" s="141">
        <v>76</v>
      </c>
      <c r="J73" s="141">
        <v>64</v>
      </c>
      <c r="K73" s="141">
        <v>60</v>
      </c>
      <c r="L73" s="142">
        <v>0.789</v>
      </c>
      <c r="M73" s="142">
        <v>0.938</v>
      </c>
      <c r="N73" s="141">
        <v>6</v>
      </c>
    </row>
    <row r="74" spans="1:14" ht="12.75">
      <c r="A74" s="113" t="s">
        <v>185</v>
      </c>
      <c r="B74" s="143">
        <v>73045</v>
      </c>
      <c r="C74" s="143">
        <v>61420</v>
      </c>
      <c r="D74" s="143">
        <v>58072</v>
      </c>
      <c r="E74" s="62">
        <v>0.8</v>
      </c>
      <c r="F74" s="62">
        <v>0.95</v>
      </c>
      <c r="G74" s="143">
        <v>5808</v>
      </c>
      <c r="H74" s="113" t="s">
        <v>185</v>
      </c>
      <c r="I74" s="143">
        <v>73</v>
      </c>
      <c r="J74" s="143">
        <v>61</v>
      </c>
      <c r="K74" s="143">
        <v>58</v>
      </c>
      <c r="L74" s="139">
        <v>0.795</v>
      </c>
      <c r="M74" s="139">
        <v>0.951</v>
      </c>
      <c r="N74" s="143">
        <v>6</v>
      </c>
    </row>
    <row r="75" spans="1:14" ht="12.75">
      <c r="A75" s="113" t="s">
        <v>186</v>
      </c>
      <c r="B75" s="143">
        <v>2500</v>
      </c>
      <c r="C75" s="143">
        <v>2500</v>
      </c>
      <c r="D75" s="143">
        <v>2412</v>
      </c>
      <c r="E75" s="62">
        <v>0.96</v>
      </c>
      <c r="F75" s="62">
        <v>0.96</v>
      </c>
      <c r="G75" s="143">
        <v>0</v>
      </c>
      <c r="H75" s="113" t="s">
        <v>186</v>
      </c>
      <c r="I75" s="143">
        <v>3</v>
      </c>
      <c r="J75" s="143">
        <v>3</v>
      </c>
      <c r="K75" s="143">
        <v>2</v>
      </c>
      <c r="L75" s="139">
        <v>0.667</v>
      </c>
      <c r="M75" s="139">
        <v>0.667</v>
      </c>
      <c r="N75" s="143">
        <v>0</v>
      </c>
    </row>
    <row r="76" spans="1:14" ht="13.5" customHeight="1">
      <c r="A76" s="74" t="s">
        <v>209</v>
      </c>
      <c r="B76" s="140">
        <v>50953</v>
      </c>
      <c r="C76" s="140">
        <v>42300</v>
      </c>
      <c r="D76" s="140">
        <v>39318</v>
      </c>
      <c r="E76" s="54">
        <v>0.77</v>
      </c>
      <c r="F76" s="54">
        <v>0.93</v>
      </c>
      <c r="G76" s="140">
        <v>3739</v>
      </c>
      <c r="H76" s="74" t="s">
        <v>209</v>
      </c>
      <c r="I76" s="141">
        <v>51</v>
      </c>
      <c r="J76" s="141">
        <v>42</v>
      </c>
      <c r="K76" s="141">
        <v>39</v>
      </c>
      <c r="L76" s="142">
        <v>0.765</v>
      </c>
      <c r="M76" s="142">
        <v>0.929</v>
      </c>
      <c r="N76" s="141">
        <v>3</v>
      </c>
    </row>
    <row r="77" spans="1:14" ht="12.75">
      <c r="A77" s="113" t="s">
        <v>185</v>
      </c>
      <c r="B77" s="143">
        <v>50953</v>
      </c>
      <c r="C77" s="143">
        <v>42300</v>
      </c>
      <c r="D77" s="143">
        <v>39318</v>
      </c>
      <c r="E77" s="62">
        <v>0.77</v>
      </c>
      <c r="F77" s="62">
        <v>0.93</v>
      </c>
      <c r="G77" s="143">
        <v>3739</v>
      </c>
      <c r="H77" s="113" t="s">
        <v>185</v>
      </c>
      <c r="I77" s="143">
        <v>51</v>
      </c>
      <c r="J77" s="143">
        <v>42</v>
      </c>
      <c r="K77" s="143">
        <v>39</v>
      </c>
      <c r="L77" s="139">
        <v>0.765</v>
      </c>
      <c r="M77" s="139">
        <v>0.929</v>
      </c>
      <c r="N77" s="143">
        <v>3</v>
      </c>
    </row>
    <row r="78" spans="1:14" ht="27" customHeight="1">
      <c r="A78" s="74" t="s">
        <v>210</v>
      </c>
      <c r="B78" s="140">
        <v>781672</v>
      </c>
      <c r="C78" s="140">
        <v>652807</v>
      </c>
      <c r="D78" s="140">
        <v>652807</v>
      </c>
      <c r="E78" s="54">
        <v>0.84</v>
      </c>
      <c r="F78" s="54">
        <v>1</v>
      </c>
      <c r="G78" s="140">
        <v>62867</v>
      </c>
      <c r="H78" s="74" t="s">
        <v>210</v>
      </c>
      <c r="I78" s="141">
        <v>782</v>
      </c>
      <c r="J78" s="141">
        <v>653</v>
      </c>
      <c r="K78" s="141">
        <v>653</v>
      </c>
      <c r="L78" s="142">
        <v>0.835</v>
      </c>
      <c r="M78" s="142">
        <v>1</v>
      </c>
      <c r="N78" s="141">
        <v>63</v>
      </c>
    </row>
    <row r="79" spans="1:14" ht="12.75">
      <c r="A79" s="113" t="s">
        <v>185</v>
      </c>
      <c r="B79" s="143">
        <v>781672</v>
      </c>
      <c r="C79" s="143">
        <v>652807</v>
      </c>
      <c r="D79" s="143">
        <v>652807</v>
      </c>
      <c r="E79" s="62">
        <v>0.84</v>
      </c>
      <c r="F79" s="62">
        <v>1</v>
      </c>
      <c r="G79" s="143">
        <v>62867</v>
      </c>
      <c r="H79" s="113" t="s">
        <v>185</v>
      </c>
      <c r="I79" s="143">
        <v>782</v>
      </c>
      <c r="J79" s="143">
        <v>653</v>
      </c>
      <c r="K79" s="143">
        <v>653</v>
      </c>
      <c r="L79" s="139">
        <v>0.835</v>
      </c>
      <c r="M79" s="139">
        <v>1</v>
      </c>
      <c r="N79" s="143">
        <v>63</v>
      </c>
    </row>
    <row r="80" spans="1:14" ht="12.75">
      <c r="A80" s="144" t="s">
        <v>211</v>
      </c>
      <c r="B80" s="140">
        <v>6486604</v>
      </c>
      <c r="C80" s="140">
        <v>5404827</v>
      </c>
      <c r="D80" s="140">
        <v>5395358</v>
      </c>
      <c r="E80" s="54">
        <v>0.83</v>
      </c>
      <c r="F80" s="54">
        <v>1</v>
      </c>
      <c r="G80" s="140">
        <v>526749</v>
      </c>
      <c r="H80" s="144" t="s">
        <v>211</v>
      </c>
      <c r="I80" s="141">
        <v>6486</v>
      </c>
      <c r="J80" s="141">
        <v>5405</v>
      </c>
      <c r="K80" s="141">
        <v>5395</v>
      </c>
      <c r="L80" s="142">
        <v>0.832</v>
      </c>
      <c r="M80" s="142">
        <v>0.998</v>
      </c>
      <c r="N80" s="141">
        <v>527</v>
      </c>
    </row>
    <row r="81" spans="1:14" ht="12.75">
      <c r="A81" s="113" t="s">
        <v>185</v>
      </c>
      <c r="B81" s="143">
        <v>6481104</v>
      </c>
      <c r="C81" s="143">
        <v>5399327</v>
      </c>
      <c r="D81" s="143">
        <v>5391020</v>
      </c>
      <c r="E81" s="62">
        <v>0.83</v>
      </c>
      <c r="F81" s="62">
        <v>1</v>
      </c>
      <c r="G81" s="143">
        <v>526749</v>
      </c>
      <c r="H81" s="113" t="s">
        <v>185</v>
      </c>
      <c r="I81" s="143">
        <v>6481</v>
      </c>
      <c r="J81" s="143">
        <v>5399</v>
      </c>
      <c r="K81" s="143">
        <v>5391</v>
      </c>
      <c r="L81" s="139">
        <v>0.832</v>
      </c>
      <c r="M81" s="139">
        <v>0.999</v>
      </c>
      <c r="N81" s="143">
        <v>527</v>
      </c>
    </row>
    <row r="82" spans="1:14" ht="12.75">
      <c r="A82" s="113" t="s">
        <v>186</v>
      </c>
      <c r="B82" s="143">
        <v>5500</v>
      </c>
      <c r="C82" s="143">
        <v>5500</v>
      </c>
      <c r="D82" s="143">
        <v>4338</v>
      </c>
      <c r="E82" s="62">
        <v>0.79</v>
      </c>
      <c r="F82" s="62">
        <v>0.79</v>
      </c>
      <c r="G82" s="143">
        <v>0</v>
      </c>
      <c r="H82" s="113" t="s">
        <v>186</v>
      </c>
      <c r="I82" s="143">
        <v>5</v>
      </c>
      <c r="J82" s="143">
        <v>6</v>
      </c>
      <c r="K82" s="143">
        <v>4</v>
      </c>
      <c r="L82" s="139">
        <v>0.8</v>
      </c>
      <c r="M82" s="139">
        <v>0.667</v>
      </c>
      <c r="N82" s="143">
        <v>0</v>
      </c>
    </row>
    <row r="83" spans="1:14" ht="13.5" customHeight="1">
      <c r="A83" s="74" t="s">
        <v>212</v>
      </c>
      <c r="B83" s="140">
        <v>97907</v>
      </c>
      <c r="C83" s="140">
        <v>74219</v>
      </c>
      <c r="D83" s="140">
        <v>74219</v>
      </c>
      <c r="E83" s="54">
        <v>0.76</v>
      </c>
      <c r="F83" s="54">
        <v>1</v>
      </c>
      <c r="G83" s="140">
        <v>8331</v>
      </c>
      <c r="H83" s="74" t="s">
        <v>212</v>
      </c>
      <c r="I83" s="141">
        <v>98</v>
      </c>
      <c r="J83" s="141">
        <v>74</v>
      </c>
      <c r="K83" s="141">
        <v>74</v>
      </c>
      <c r="L83" s="142">
        <v>0.755</v>
      </c>
      <c r="M83" s="142">
        <v>1</v>
      </c>
      <c r="N83" s="141">
        <v>8</v>
      </c>
    </row>
    <row r="84" spans="1:14" ht="12.75">
      <c r="A84" s="113" t="s">
        <v>185</v>
      </c>
      <c r="B84" s="143">
        <v>97907</v>
      </c>
      <c r="C84" s="143">
        <v>74219</v>
      </c>
      <c r="D84" s="143">
        <v>74219</v>
      </c>
      <c r="E84" s="62">
        <v>0.76</v>
      </c>
      <c r="F84" s="62">
        <v>1</v>
      </c>
      <c r="G84" s="143">
        <v>8331</v>
      </c>
      <c r="H84" s="113" t="s">
        <v>185</v>
      </c>
      <c r="I84" s="143">
        <v>98</v>
      </c>
      <c r="J84" s="143">
        <v>74</v>
      </c>
      <c r="K84" s="143">
        <v>74</v>
      </c>
      <c r="L84" s="139">
        <v>0.755</v>
      </c>
      <c r="M84" s="139">
        <v>1</v>
      </c>
      <c r="N84" s="143">
        <v>8</v>
      </c>
    </row>
    <row r="85" spans="1:14" ht="39.75" customHeight="1">
      <c r="A85" s="121" t="s">
        <v>213</v>
      </c>
      <c r="B85" s="140">
        <v>616209</v>
      </c>
      <c r="C85" s="140">
        <v>497842</v>
      </c>
      <c r="D85" s="140">
        <v>485311</v>
      </c>
      <c r="E85" s="54">
        <v>0.79</v>
      </c>
      <c r="F85" s="54">
        <v>0.97</v>
      </c>
      <c r="G85" s="140">
        <v>67108</v>
      </c>
      <c r="H85" s="121" t="s">
        <v>213</v>
      </c>
      <c r="I85" s="141">
        <v>616</v>
      </c>
      <c r="J85" s="141">
        <v>497</v>
      </c>
      <c r="K85" s="141">
        <v>486</v>
      </c>
      <c r="L85" s="142">
        <v>0.789</v>
      </c>
      <c r="M85" s="142">
        <v>0.978</v>
      </c>
      <c r="N85" s="141">
        <v>67</v>
      </c>
    </row>
    <row r="86" spans="1:14" ht="12.75">
      <c r="A86" s="113" t="s">
        <v>185</v>
      </c>
      <c r="B86" s="143">
        <v>607740</v>
      </c>
      <c r="C86" s="143">
        <v>489373</v>
      </c>
      <c r="D86" s="143">
        <v>477717</v>
      </c>
      <c r="E86" s="54">
        <v>0.79</v>
      </c>
      <c r="F86" s="54">
        <v>0.98</v>
      </c>
      <c r="G86" s="143">
        <v>65163</v>
      </c>
      <c r="H86" s="113" t="s">
        <v>185</v>
      </c>
      <c r="I86" s="143">
        <v>608</v>
      </c>
      <c r="J86" s="143">
        <v>489</v>
      </c>
      <c r="K86" s="143">
        <v>478</v>
      </c>
      <c r="L86" s="139">
        <v>0.786</v>
      </c>
      <c r="M86" s="139">
        <v>0.978</v>
      </c>
      <c r="N86" s="143">
        <v>65</v>
      </c>
    </row>
    <row r="87" spans="1:14" ht="12.75">
      <c r="A87" s="113" t="s">
        <v>186</v>
      </c>
      <c r="B87" s="143">
        <v>8469</v>
      </c>
      <c r="C87" s="143">
        <v>8469</v>
      </c>
      <c r="D87" s="143">
        <v>7594</v>
      </c>
      <c r="E87" s="54">
        <v>0.9</v>
      </c>
      <c r="F87" s="54">
        <v>0.9</v>
      </c>
      <c r="G87" s="143">
        <v>1945</v>
      </c>
      <c r="H87" s="113" t="s">
        <v>186</v>
      </c>
      <c r="I87" s="143">
        <v>8</v>
      </c>
      <c r="J87" s="143">
        <v>8</v>
      </c>
      <c r="K87" s="143">
        <v>8</v>
      </c>
      <c r="L87" s="139">
        <v>1</v>
      </c>
      <c r="M87" s="139">
        <v>1</v>
      </c>
      <c r="N87" s="143">
        <v>2</v>
      </c>
    </row>
    <row r="88" spans="1:14" ht="63.75">
      <c r="A88" s="121" t="s">
        <v>214</v>
      </c>
      <c r="B88" s="140">
        <v>535443</v>
      </c>
      <c r="C88" s="140">
        <v>340106</v>
      </c>
      <c r="D88" s="140">
        <v>263291</v>
      </c>
      <c r="E88" s="54">
        <v>0.49</v>
      </c>
      <c r="F88" s="54">
        <v>0.77</v>
      </c>
      <c r="G88" s="140">
        <v>75939</v>
      </c>
      <c r="H88" s="121" t="s">
        <v>214</v>
      </c>
      <c r="I88" s="141">
        <v>536</v>
      </c>
      <c r="J88" s="141">
        <v>340</v>
      </c>
      <c r="K88" s="141">
        <v>264</v>
      </c>
      <c r="L88" s="142">
        <v>0.493</v>
      </c>
      <c r="M88" s="142">
        <v>0.776</v>
      </c>
      <c r="N88" s="141">
        <v>77</v>
      </c>
    </row>
    <row r="89" spans="1:14" ht="12.75">
      <c r="A89" s="113" t="s">
        <v>185</v>
      </c>
      <c r="B89" s="143">
        <v>501789</v>
      </c>
      <c r="C89" s="143">
        <v>312453</v>
      </c>
      <c r="D89" s="143">
        <v>247679</v>
      </c>
      <c r="E89" s="54">
        <v>0.49</v>
      </c>
      <c r="F89" s="54">
        <v>0.79</v>
      </c>
      <c r="G89" s="143">
        <v>69684</v>
      </c>
      <c r="H89" s="113" t="s">
        <v>185</v>
      </c>
      <c r="I89" s="143">
        <v>502</v>
      </c>
      <c r="J89" s="143">
        <v>312</v>
      </c>
      <c r="K89" s="143">
        <v>248</v>
      </c>
      <c r="L89" s="139">
        <v>0.494</v>
      </c>
      <c r="M89" s="139">
        <v>0.795</v>
      </c>
      <c r="N89" s="143">
        <v>70</v>
      </c>
    </row>
    <row r="90" spans="1:14" ht="12.75">
      <c r="A90" s="113" t="s">
        <v>186</v>
      </c>
      <c r="B90" s="143">
        <v>33654</v>
      </c>
      <c r="C90" s="143">
        <v>27653</v>
      </c>
      <c r="D90" s="143">
        <v>15612</v>
      </c>
      <c r="E90" s="54">
        <v>0.46</v>
      </c>
      <c r="F90" s="54">
        <v>0.56</v>
      </c>
      <c r="G90" s="143">
        <v>6255</v>
      </c>
      <c r="H90" s="113" t="s">
        <v>186</v>
      </c>
      <c r="I90" s="143">
        <v>34</v>
      </c>
      <c r="J90" s="143">
        <v>28</v>
      </c>
      <c r="K90" s="143">
        <v>16</v>
      </c>
      <c r="L90" s="139">
        <v>0.471</v>
      </c>
      <c r="M90" s="139">
        <v>0.571</v>
      </c>
      <c r="N90" s="143">
        <v>7</v>
      </c>
    </row>
    <row r="91" spans="1:14" ht="12.75" customHeight="1">
      <c r="A91" s="74" t="s">
        <v>215</v>
      </c>
      <c r="B91" s="140">
        <v>92888374</v>
      </c>
      <c r="C91" s="140">
        <v>77883048</v>
      </c>
      <c r="D91" s="140">
        <v>77794349</v>
      </c>
      <c r="E91" s="54">
        <v>0.84</v>
      </c>
      <c r="F91" s="54">
        <v>1</v>
      </c>
      <c r="G91" s="140">
        <v>8107814</v>
      </c>
      <c r="H91" s="74" t="s">
        <v>215</v>
      </c>
      <c r="I91" s="141">
        <v>92888</v>
      </c>
      <c r="J91" s="141">
        <v>77883</v>
      </c>
      <c r="K91" s="141">
        <v>77794</v>
      </c>
      <c r="L91" s="142">
        <v>0.838</v>
      </c>
      <c r="M91" s="142">
        <v>0.999</v>
      </c>
      <c r="N91" s="141">
        <v>8107</v>
      </c>
    </row>
    <row r="92" spans="1:14" ht="12.75">
      <c r="A92" s="113" t="s">
        <v>185</v>
      </c>
      <c r="B92" s="143">
        <v>83765374</v>
      </c>
      <c r="C92" s="143">
        <v>69719048</v>
      </c>
      <c r="D92" s="143">
        <v>69630349</v>
      </c>
      <c r="E92" s="62">
        <v>0.83</v>
      </c>
      <c r="F92" s="62">
        <v>1</v>
      </c>
      <c r="G92" s="143">
        <v>7093814</v>
      </c>
      <c r="H92" s="113" t="s">
        <v>185</v>
      </c>
      <c r="I92" s="143">
        <v>83765</v>
      </c>
      <c r="J92" s="143">
        <v>69719</v>
      </c>
      <c r="K92" s="143">
        <v>69630</v>
      </c>
      <c r="L92" s="139">
        <v>0.831</v>
      </c>
      <c r="M92" s="139">
        <v>0.999</v>
      </c>
      <c r="N92" s="143">
        <v>7093</v>
      </c>
    </row>
    <row r="93" spans="1:14" ht="12.75">
      <c r="A93" s="113" t="s">
        <v>186</v>
      </c>
      <c r="B93" s="143">
        <v>9123000</v>
      </c>
      <c r="C93" s="143">
        <v>8164000</v>
      </c>
      <c r="D93" s="143">
        <v>8164000</v>
      </c>
      <c r="E93" s="62">
        <v>0.89</v>
      </c>
      <c r="F93" s="62">
        <v>1</v>
      </c>
      <c r="G93" s="143">
        <v>1014000</v>
      </c>
      <c r="H93" s="113" t="s">
        <v>186</v>
      </c>
      <c r="I93" s="143">
        <v>9123</v>
      </c>
      <c r="J93" s="143">
        <v>8164</v>
      </c>
      <c r="K93" s="143">
        <v>8164</v>
      </c>
      <c r="L93" s="139">
        <v>0.895</v>
      </c>
      <c r="M93" s="139">
        <v>1</v>
      </c>
      <c r="N93" s="143">
        <v>1014</v>
      </c>
    </row>
    <row r="94" spans="1:14" ht="12.75" customHeight="1">
      <c r="A94" s="74" t="s">
        <v>216</v>
      </c>
      <c r="B94" s="140">
        <v>6273010</v>
      </c>
      <c r="C94" s="140">
        <v>5185842</v>
      </c>
      <c r="D94" s="140">
        <v>5085842</v>
      </c>
      <c r="E94" s="54">
        <v>0.81</v>
      </c>
      <c r="F94" s="54">
        <v>0.98</v>
      </c>
      <c r="G94" s="140">
        <v>508584</v>
      </c>
      <c r="H94" s="74" t="s">
        <v>216</v>
      </c>
      <c r="I94" s="141">
        <v>6273</v>
      </c>
      <c r="J94" s="141">
        <v>5186</v>
      </c>
      <c r="K94" s="141">
        <v>5086</v>
      </c>
      <c r="L94" s="142">
        <v>0.811</v>
      </c>
      <c r="M94" s="142">
        <v>0.981</v>
      </c>
      <c r="N94" s="141">
        <v>509</v>
      </c>
    </row>
    <row r="95" spans="1:14" ht="12.75">
      <c r="A95" s="115" t="s">
        <v>185</v>
      </c>
      <c r="B95" s="143">
        <v>6273010</v>
      </c>
      <c r="C95" s="143">
        <v>5185842</v>
      </c>
      <c r="D95" s="143">
        <v>5085842</v>
      </c>
      <c r="E95" s="62">
        <v>0.81</v>
      </c>
      <c r="F95" s="62">
        <v>0.98</v>
      </c>
      <c r="G95" s="143">
        <v>508584</v>
      </c>
      <c r="H95" s="115" t="s">
        <v>185</v>
      </c>
      <c r="I95" s="143">
        <v>6273</v>
      </c>
      <c r="J95" s="143">
        <v>5186</v>
      </c>
      <c r="K95" s="143">
        <v>5086</v>
      </c>
      <c r="L95" s="139">
        <v>0.811</v>
      </c>
      <c r="M95" s="139">
        <v>0.981</v>
      </c>
      <c r="N95" s="143">
        <v>509</v>
      </c>
    </row>
    <row r="96" spans="1:14" ht="12.75">
      <c r="A96" s="147"/>
      <c r="B96" s="148"/>
      <c r="C96" s="148"/>
      <c r="D96" s="148"/>
      <c r="E96" s="149"/>
      <c r="F96" s="149"/>
      <c r="G96" s="2"/>
      <c r="H96" s="147"/>
      <c r="I96" s="148"/>
      <c r="J96" s="148"/>
      <c r="K96" s="148"/>
      <c r="L96" s="149"/>
      <c r="M96" s="149"/>
      <c r="N96" s="2"/>
    </row>
    <row r="97" spans="1:14" ht="14.25">
      <c r="A97" s="150"/>
      <c r="B97" s="151"/>
      <c r="C97" s="151"/>
      <c r="D97" s="151"/>
      <c r="E97" s="152"/>
      <c r="F97" s="153"/>
      <c r="G97" s="2"/>
      <c r="H97" s="84"/>
      <c r="I97" s="154"/>
      <c r="J97" s="129"/>
      <c r="K97" s="155"/>
      <c r="L97" s="155"/>
      <c r="M97" s="156"/>
      <c r="N97" s="2"/>
    </row>
    <row r="98" spans="1:14" ht="12.75">
      <c r="A98" s="84" t="s">
        <v>217</v>
      </c>
      <c r="B98" s="154"/>
      <c r="C98" s="129"/>
      <c r="D98" s="155"/>
      <c r="E98" s="155"/>
      <c r="F98" s="156"/>
      <c r="G98" s="2"/>
      <c r="H98" s="84"/>
      <c r="I98" s="154"/>
      <c r="J98" s="129"/>
      <c r="K98" s="155"/>
      <c r="L98" s="155"/>
      <c r="M98" s="156"/>
      <c r="N98" s="2"/>
    </row>
    <row r="99" spans="1:14" ht="12.75">
      <c r="A99" s="43"/>
      <c r="B99" s="47"/>
      <c r="C99" s="133" t="s">
        <v>218</v>
      </c>
      <c r="D99" s="157"/>
      <c r="E99" s="126"/>
      <c r="F99" s="158"/>
      <c r="G99" s="2"/>
      <c r="H99" s="43"/>
      <c r="I99" s="47"/>
      <c r="J99" s="133"/>
      <c r="K99" s="157"/>
      <c r="L99" s="126"/>
      <c r="M99" s="158"/>
      <c r="N99" s="2"/>
    </row>
    <row r="100" spans="1:14" ht="12.75">
      <c r="A100" s="2"/>
      <c r="B100" s="159"/>
      <c r="C100" s="133"/>
      <c r="D100" s="133"/>
      <c r="E100" s="160"/>
      <c r="F100" s="161"/>
      <c r="G100" s="2"/>
      <c r="H100" s="84"/>
      <c r="I100" s="154"/>
      <c r="J100" s="129"/>
      <c r="K100" s="155"/>
      <c r="L100" s="155"/>
      <c r="M100" s="156"/>
      <c r="N100" s="2"/>
    </row>
    <row r="101" spans="1:14" ht="12.75">
      <c r="A101" s="2" t="s">
        <v>134</v>
      </c>
      <c r="B101" s="159"/>
      <c r="C101" s="133"/>
      <c r="D101" s="133"/>
      <c r="E101" s="160"/>
      <c r="F101" s="161"/>
      <c r="G101" s="2"/>
      <c r="H101" s="2"/>
      <c r="I101" s="159"/>
      <c r="J101" s="133"/>
      <c r="K101" s="133"/>
      <c r="L101" s="160"/>
      <c r="M101" s="161"/>
      <c r="N101" s="2"/>
    </row>
    <row r="102" spans="1:14" ht="12.75">
      <c r="A102" s="2" t="s">
        <v>136</v>
      </c>
      <c r="B102" s="47"/>
      <c r="C102" s="133"/>
      <c r="D102" s="157"/>
      <c r="E102" s="126"/>
      <c r="F102" s="158"/>
      <c r="G102" s="2"/>
      <c r="H102" s="2"/>
      <c r="I102" s="47"/>
      <c r="J102" s="133"/>
      <c r="K102" s="157"/>
      <c r="L102" s="126"/>
      <c r="M102" s="158"/>
      <c r="N102" s="2"/>
    </row>
    <row r="103" ht="12.75">
      <c r="H103" s="2"/>
    </row>
    <row r="104" spans="1:14" ht="12.75">
      <c r="A104" s="2"/>
      <c r="B104" s="43"/>
      <c r="C104" s="157"/>
      <c r="D104" s="157"/>
      <c r="E104" s="43"/>
      <c r="F104" s="43"/>
      <c r="G104" s="2"/>
      <c r="H104" s="84" t="s">
        <v>217</v>
      </c>
      <c r="I104" s="154"/>
      <c r="J104" s="129"/>
      <c r="K104" s="155"/>
      <c r="L104" s="155"/>
      <c r="M104" s="156"/>
      <c r="N104" s="2"/>
    </row>
    <row r="105" spans="7:14" ht="12.75">
      <c r="G105" s="2"/>
      <c r="H105" s="2"/>
      <c r="N105" s="2"/>
    </row>
    <row r="106" spans="7:14" ht="12.75">
      <c r="G106" s="2"/>
      <c r="H106" s="2"/>
      <c r="I106" s="2"/>
      <c r="J106" s="2"/>
      <c r="K106" s="2"/>
      <c r="L106" s="2"/>
      <c r="M106" s="2"/>
      <c r="N106" s="2"/>
    </row>
    <row r="107" spans="7:14" ht="12.75">
      <c r="G107" s="2"/>
      <c r="H107" s="2"/>
      <c r="I107" s="2"/>
      <c r="J107" s="2"/>
      <c r="K107" s="2"/>
      <c r="L107" s="2"/>
      <c r="M107" s="2"/>
      <c r="N107" s="2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43"/>
      <c r="C113" s="157"/>
      <c r="D113" s="157"/>
      <c r="E113" s="43"/>
      <c r="F113" s="43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43"/>
      <c r="C114" s="157"/>
      <c r="D114" s="157"/>
      <c r="E114" s="43"/>
      <c r="F114" s="43"/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H117" s="2"/>
      <c r="I117" s="2"/>
      <c r="J117" s="2"/>
      <c r="K117" s="2"/>
      <c r="L117" s="2"/>
      <c r="M117" s="2"/>
      <c r="N117" s="2"/>
    </row>
    <row r="118" spans="7:14" ht="12.75">
      <c r="G118" s="2"/>
      <c r="H118" s="2"/>
      <c r="I118" s="2"/>
      <c r="J118" s="2"/>
      <c r="K118" s="2"/>
      <c r="L118" s="2"/>
      <c r="M118" s="2"/>
      <c r="N118" s="2"/>
    </row>
    <row r="119" spans="7:14" ht="12.75">
      <c r="G119" s="2"/>
      <c r="H119" s="2"/>
      <c r="I119" s="2"/>
      <c r="J119" s="2"/>
      <c r="K119" s="2"/>
      <c r="L119" s="2"/>
      <c r="M119" s="2"/>
      <c r="N119" s="2"/>
    </row>
    <row r="120" spans="7:14" ht="12.75">
      <c r="G120" s="2"/>
      <c r="H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 t="s">
        <v>134</v>
      </c>
      <c r="I127" s="2"/>
      <c r="J127" s="2"/>
      <c r="K127" s="2"/>
      <c r="L127" s="2"/>
      <c r="M127" s="2"/>
      <c r="N127" s="2"/>
    </row>
    <row r="128" spans="7:14" ht="12.75">
      <c r="G128" s="2"/>
      <c r="H128" s="2" t="s">
        <v>136</v>
      </c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7:14" ht="12.75">
      <c r="G191" s="2"/>
      <c r="H191" s="2"/>
      <c r="I191" s="2"/>
      <c r="J191" s="2"/>
      <c r="K191" s="2"/>
      <c r="L191" s="2"/>
      <c r="M191" s="2"/>
      <c r="N191" s="2"/>
    </row>
    <row r="192" spans="7:14" ht="12.75">
      <c r="G192" s="2"/>
      <c r="H192" s="2"/>
      <c r="I192" s="2"/>
      <c r="J192" s="2"/>
      <c r="K192" s="2"/>
      <c r="L192" s="2"/>
      <c r="M192" s="2"/>
      <c r="N192" s="2"/>
    </row>
    <row r="193" spans="7:14" ht="12.75">
      <c r="G193" s="2"/>
      <c r="H193" s="2"/>
      <c r="I193" s="2"/>
      <c r="J193" s="2"/>
      <c r="K193" s="2"/>
      <c r="L193" s="2"/>
      <c r="M193" s="2"/>
      <c r="N193" s="2"/>
    </row>
    <row r="194" spans="7:14" ht="12.75">
      <c r="G194" s="2"/>
      <c r="H194" s="2"/>
      <c r="I194" s="2"/>
      <c r="J194" s="2"/>
      <c r="K194" s="2"/>
      <c r="L194" s="2"/>
      <c r="M194" s="2"/>
      <c r="N194" s="2"/>
    </row>
    <row r="195" spans="7:14" ht="12.75">
      <c r="G195" s="2"/>
      <c r="H195" s="2"/>
      <c r="I195" s="2"/>
      <c r="J195" s="2"/>
      <c r="K195" s="2"/>
      <c r="L195" s="2"/>
      <c r="M195" s="2"/>
      <c r="N195" s="2"/>
    </row>
    <row r="196" spans="7:14" ht="12.75">
      <c r="G196" s="2"/>
      <c r="H196" s="2"/>
      <c r="I196" s="2"/>
      <c r="J196" s="2"/>
      <c r="K196" s="2"/>
      <c r="L196" s="2"/>
      <c r="M196" s="2"/>
      <c r="N196" s="2"/>
    </row>
    <row r="197" spans="7:14" ht="12.75">
      <c r="G197" s="2"/>
      <c r="H197" s="2"/>
      <c r="I197" s="2"/>
      <c r="J197" s="2"/>
      <c r="K197" s="2"/>
      <c r="L197" s="2"/>
      <c r="M197" s="2"/>
      <c r="N197" s="2"/>
    </row>
    <row r="198" spans="7:14" ht="12.75"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8"/>
  <sheetViews>
    <sheetView workbookViewId="0" topLeftCell="H1">
      <selection activeCell="R9" sqref="R9"/>
    </sheetView>
  </sheetViews>
  <sheetFormatPr defaultColWidth="9.140625" defaultRowHeight="12.75"/>
  <cols>
    <col min="1" max="1" width="28.7109375" style="48" hidden="1" customWidth="1"/>
    <col min="2" max="2" width="10.421875" style="48" hidden="1" customWidth="1"/>
    <col min="3" max="3" width="11.140625" style="48" hidden="1" customWidth="1"/>
    <col min="4" max="4" width="11.28125" style="48" hidden="1" customWidth="1"/>
    <col min="5" max="5" width="6.421875" style="48" hidden="1" customWidth="1"/>
    <col min="6" max="6" width="6.28125" style="48" hidden="1" customWidth="1"/>
    <col min="7" max="7" width="10.57421875" style="48" hidden="1" customWidth="1"/>
    <col min="8" max="8" width="26.00390625" style="48" customWidth="1"/>
    <col min="9" max="9" width="8.140625" style="48" customWidth="1"/>
    <col min="10" max="10" width="7.28125" style="48" customWidth="1"/>
    <col min="11" max="11" width="7.140625" style="48" customWidth="1"/>
    <col min="12" max="12" width="5.57421875" style="48" customWidth="1"/>
    <col min="13" max="13" width="6.8515625" style="48" customWidth="1"/>
    <col min="14" max="14" width="7.7109375" style="48" customWidth="1"/>
    <col min="15" max="84" width="7.8515625" style="0" customWidth="1"/>
    <col min="85" max="16384" width="7.8515625" style="48" customWidth="1"/>
  </cols>
  <sheetData>
    <row r="1" spans="7:14" ht="12.75">
      <c r="G1" s="48" t="s">
        <v>219</v>
      </c>
      <c r="N1" s="48" t="s">
        <v>219</v>
      </c>
    </row>
    <row r="2" spans="1:14" ht="16.5" customHeight="1">
      <c r="A2" s="36" t="s">
        <v>220</v>
      </c>
      <c r="B2" s="36"/>
      <c r="C2" s="84"/>
      <c r="D2" s="84"/>
      <c r="E2" s="36"/>
      <c r="F2" s="84"/>
      <c r="G2" s="2"/>
      <c r="H2" s="36" t="s">
        <v>220</v>
      </c>
      <c r="I2" s="36"/>
      <c r="J2" s="84"/>
      <c r="K2" s="84"/>
      <c r="L2" s="36"/>
      <c r="M2" s="84"/>
      <c r="N2" s="2"/>
    </row>
    <row r="3" spans="1:14" ht="4.5" customHeight="1" hidden="1">
      <c r="A3" s="162"/>
      <c r="B3" s="2"/>
      <c r="C3" s="2"/>
      <c r="D3" s="2"/>
      <c r="E3" s="2"/>
      <c r="F3" s="2"/>
      <c r="G3" s="2"/>
      <c r="H3" s="162"/>
      <c r="I3" s="2"/>
      <c r="J3" s="2"/>
      <c r="K3" s="2"/>
      <c r="L3" s="2"/>
      <c r="M3" s="2"/>
      <c r="N3" s="2"/>
    </row>
    <row r="4" spans="1:14" ht="12" customHeight="1">
      <c r="A4" s="162"/>
      <c r="B4" s="2"/>
      <c r="C4" s="2"/>
      <c r="D4" s="2"/>
      <c r="E4" s="2"/>
      <c r="F4" s="2"/>
      <c r="G4" s="2"/>
      <c r="H4" s="162"/>
      <c r="I4" s="2"/>
      <c r="J4" s="2"/>
      <c r="K4" s="2"/>
      <c r="L4" s="2"/>
      <c r="M4" s="2"/>
      <c r="N4" s="2"/>
    </row>
    <row r="5" spans="1:14" ht="15.75">
      <c r="A5" s="89" t="s">
        <v>221</v>
      </c>
      <c r="B5" s="84"/>
      <c r="C5" s="84"/>
      <c r="D5" s="84"/>
      <c r="E5" s="84"/>
      <c r="F5" s="84"/>
      <c r="G5" s="2"/>
      <c r="H5" s="89" t="s">
        <v>221</v>
      </c>
      <c r="I5" s="84"/>
      <c r="J5" s="84"/>
      <c r="K5" s="84"/>
      <c r="L5" s="84"/>
      <c r="M5" s="84"/>
      <c r="N5" s="2"/>
    </row>
    <row r="6" spans="1:14" ht="15.75">
      <c r="A6" s="89" t="s">
        <v>222</v>
      </c>
      <c r="B6" s="84"/>
      <c r="C6" s="84"/>
      <c r="D6" s="84"/>
      <c r="E6" s="84"/>
      <c r="F6" s="84"/>
      <c r="G6" s="2"/>
      <c r="H6" s="89" t="s">
        <v>222</v>
      </c>
      <c r="I6" s="84"/>
      <c r="J6" s="84"/>
      <c r="K6" s="84"/>
      <c r="L6" s="84"/>
      <c r="M6" s="84"/>
      <c r="N6" s="2"/>
    </row>
    <row r="7" spans="1:14" ht="19.5" customHeight="1">
      <c r="A7" s="89" t="s">
        <v>180</v>
      </c>
      <c r="B7" s="84"/>
      <c r="C7" s="84"/>
      <c r="D7" s="84"/>
      <c r="E7" s="84"/>
      <c r="F7" s="84"/>
      <c r="G7" s="2"/>
      <c r="H7" s="89" t="s">
        <v>180</v>
      </c>
      <c r="I7" s="84"/>
      <c r="J7" s="84"/>
      <c r="K7" s="84"/>
      <c r="L7" s="84"/>
      <c r="M7" s="84"/>
      <c r="N7" s="2"/>
    </row>
    <row r="8" spans="1:84" s="137" customFormat="1" ht="18.75" customHeight="1">
      <c r="A8" s="2"/>
      <c r="B8" s="2"/>
      <c r="C8" s="2"/>
      <c r="D8" s="2"/>
      <c r="E8" s="48"/>
      <c r="F8" s="2"/>
      <c r="G8" s="43" t="s">
        <v>140</v>
      </c>
      <c r="H8" s="2"/>
      <c r="I8" s="2"/>
      <c r="J8" s="2"/>
      <c r="K8" s="2"/>
      <c r="L8" s="48"/>
      <c r="M8" s="2"/>
      <c r="N8" s="43" t="s">
        <v>140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s="60" customFormat="1" ht="78.75" customHeight="1">
      <c r="A9" s="4" t="s">
        <v>2</v>
      </c>
      <c r="B9" s="4" t="s">
        <v>49</v>
      </c>
      <c r="C9" s="4" t="s">
        <v>223</v>
      </c>
      <c r="D9" s="4" t="s">
        <v>50</v>
      </c>
      <c r="E9" s="4" t="s">
        <v>224</v>
      </c>
      <c r="F9" s="4" t="s">
        <v>225</v>
      </c>
      <c r="G9" s="4" t="s">
        <v>6</v>
      </c>
      <c r="H9" s="4" t="s">
        <v>2</v>
      </c>
      <c r="I9" s="4" t="s">
        <v>49</v>
      </c>
      <c r="J9" s="4" t="s">
        <v>223</v>
      </c>
      <c r="K9" s="4" t="s">
        <v>50</v>
      </c>
      <c r="L9" s="4" t="s">
        <v>224</v>
      </c>
      <c r="M9" s="4" t="s">
        <v>225</v>
      </c>
      <c r="N9" s="4" t="s">
        <v>6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60" customFormat="1" ht="9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1</v>
      </c>
      <c r="I10" s="4">
        <v>2</v>
      </c>
      <c r="J10" s="4">
        <v>3</v>
      </c>
      <c r="K10" s="4">
        <v>4</v>
      </c>
      <c r="L10" s="4">
        <v>5</v>
      </c>
      <c r="M10" s="4">
        <v>6</v>
      </c>
      <c r="N10" s="4">
        <v>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60" customFormat="1" ht="21.75" customHeight="1">
      <c r="A11" s="74" t="s">
        <v>226</v>
      </c>
      <c r="B11" s="30">
        <v>696204005</v>
      </c>
      <c r="C11" s="30">
        <v>586914067</v>
      </c>
      <c r="D11" s="30">
        <v>580380705</v>
      </c>
      <c r="E11" s="54">
        <v>0.83</v>
      </c>
      <c r="F11" s="54">
        <v>0.99</v>
      </c>
      <c r="G11" s="30">
        <v>64021038</v>
      </c>
      <c r="H11" s="74" t="s">
        <v>226</v>
      </c>
      <c r="I11" s="163">
        <v>696204</v>
      </c>
      <c r="J11" s="163">
        <v>586914</v>
      </c>
      <c r="K11" s="163">
        <v>580381</v>
      </c>
      <c r="L11" s="142">
        <v>0.834</v>
      </c>
      <c r="M11" s="142">
        <v>0.989</v>
      </c>
      <c r="N11" s="164">
        <v>64021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60" customFormat="1" ht="23.25" customHeight="1">
      <c r="A12" s="115" t="s">
        <v>227</v>
      </c>
      <c r="B12" s="165">
        <v>628767249</v>
      </c>
      <c r="C12" s="165">
        <v>530132993</v>
      </c>
      <c r="D12" s="165">
        <v>530132993</v>
      </c>
      <c r="E12" s="54">
        <v>0.84</v>
      </c>
      <c r="F12" s="54">
        <v>1</v>
      </c>
      <c r="G12" s="143">
        <v>57816297</v>
      </c>
      <c r="H12" s="115" t="s">
        <v>227</v>
      </c>
      <c r="I12" s="166">
        <v>628767</v>
      </c>
      <c r="J12" s="166">
        <v>530133</v>
      </c>
      <c r="K12" s="166">
        <v>530133</v>
      </c>
      <c r="L12" s="139">
        <v>0.843</v>
      </c>
      <c r="M12" s="139">
        <v>1</v>
      </c>
      <c r="N12" s="143">
        <v>57816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s="60" customFormat="1" ht="19.5" customHeight="1">
      <c r="A13" s="115" t="s">
        <v>228</v>
      </c>
      <c r="B13" s="165">
        <v>1092020</v>
      </c>
      <c r="C13" s="165">
        <v>519550</v>
      </c>
      <c r="D13" s="165">
        <v>130999</v>
      </c>
      <c r="E13" s="54">
        <v>0.12</v>
      </c>
      <c r="F13" s="54">
        <v>0.25</v>
      </c>
      <c r="G13" s="143">
        <v>0</v>
      </c>
      <c r="H13" s="115" t="s">
        <v>228</v>
      </c>
      <c r="I13" s="166">
        <v>1092</v>
      </c>
      <c r="J13" s="166">
        <v>520</v>
      </c>
      <c r="K13" s="166">
        <v>131</v>
      </c>
      <c r="L13" s="139">
        <v>0.12</v>
      </c>
      <c r="M13" s="139">
        <v>0.252</v>
      </c>
      <c r="N13" s="14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60" customFormat="1" ht="18.75" customHeight="1">
      <c r="A14" s="115" t="s">
        <v>229</v>
      </c>
      <c r="B14" s="165">
        <v>66344736</v>
      </c>
      <c r="C14" s="165">
        <v>56261524</v>
      </c>
      <c r="D14" s="165">
        <v>50116713</v>
      </c>
      <c r="E14" s="54">
        <v>0.76</v>
      </c>
      <c r="F14" s="54">
        <v>0.89</v>
      </c>
      <c r="G14" s="143">
        <v>6204741</v>
      </c>
      <c r="H14" s="115" t="s">
        <v>229</v>
      </c>
      <c r="I14" s="166">
        <v>66345</v>
      </c>
      <c r="J14" s="166">
        <v>56261</v>
      </c>
      <c r="K14" s="166">
        <v>50117</v>
      </c>
      <c r="L14" s="139">
        <v>0.755</v>
      </c>
      <c r="M14" s="139">
        <v>0.891</v>
      </c>
      <c r="N14" s="143">
        <v>6205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s="60" customFormat="1" ht="24" customHeight="1">
      <c r="A15" s="74" t="s">
        <v>230</v>
      </c>
      <c r="B15" s="6">
        <v>697570053</v>
      </c>
      <c r="C15" s="6">
        <v>587666346</v>
      </c>
      <c r="D15" s="6">
        <v>557121342</v>
      </c>
      <c r="E15" s="54">
        <v>0.8</v>
      </c>
      <c r="F15" s="54">
        <v>0.95</v>
      </c>
      <c r="G15" s="6">
        <v>62709767</v>
      </c>
      <c r="H15" s="74" t="s">
        <v>230</v>
      </c>
      <c r="I15" s="164">
        <v>697570</v>
      </c>
      <c r="J15" s="164">
        <v>587665</v>
      </c>
      <c r="K15" s="164">
        <v>557122</v>
      </c>
      <c r="L15" s="142">
        <v>0.799</v>
      </c>
      <c r="M15" s="142">
        <v>0.948</v>
      </c>
      <c r="N15" s="164">
        <v>62710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60" customFormat="1" ht="18.75" customHeight="1">
      <c r="A16" s="167" t="s">
        <v>231</v>
      </c>
      <c r="B16" s="140">
        <v>635105734</v>
      </c>
      <c r="C16" s="140">
        <v>532124535</v>
      </c>
      <c r="D16" s="140">
        <v>510806269</v>
      </c>
      <c r="E16" s="54">
        <v>0.8</v>
      </c>
      <c r="F16" s="54">
        <v>0.96</v>
      </c>
      <c r="G16" s="140">
        <v>57312198</v>
      </c>
      <c r="H16" s="167" t="s">
        <v>231</v>
      </c>
      <c r="I16" s="163">
        <v>635106</v>
      </c>
      <c r="J16" s="163">
        <v>532123</v>
      </c>
      <c r="K16" s="55">
        <v>510807</v>
      </c>
      <c r="L16" s="142">
        <v>0.804</v>
      </c>
      <c r="M16" s="142">
        <v>0.96</v>
      </c>
      <c r="N16" s="55">
        <v>57312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60" customFormat="1" ht="22.5" customHeight="1">
      <c r="A17" s="106" t="s">
        <v>232</v>
      </c>
      <c r="B17" s="168">
        <v>318414663</v>
      </c>
      <c r="C17" s="168">
        <v>265286385</v>
      </c>
      <c r="D17" s="168">
        <v>250265130</v>
      </c>
      <c r="E17" s="54">
        <v>0.79</v>
      </c>
      <c r="F17" s="54">
        <v>0.94</v>
      </c>
      <c r="G17" s="168">
        <v>26176086</v>
      </c>
      <c r="H17" s="106" t="s">
        <v>232</v>
      </c>
      <c r="I17" s="169">
        <v>318415</v>
      </c>
      <c r="J17" s="169">
        <v>265285</v>
      </c>
      <c r="K17" s="58">
        <v>250267</v>
      </c>
      <c r="L17" s="170">
        <v>0.786</v>
      </c>
      <c r="M17" s="170">
        <v>0.943</v>
      </c>
      <c r="N17" s="58">
        <v>26178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60" customFormat="1" ht="18" customHeight="1">
      <c r="A18" s="64" t="s">
        <v>233</v>
      </c>
      <c r="B18" s="143">
        <v>149413801</v>
      </c>
      <c r="C18" s="143">
        <v>123653822</v>
      </c>
      <c r="D18" s="143">
        <v>118660811</v>
      </c>
      <c r="E18" s="62">
        <v>0.79</v>
      </c>
      <c r="F18" s="62">
        <v>0.96</v>
      </c>
      <c r="G18" s="143">
        <v>12273493</v>
      </c>
      <c r="H18" s="64" t="s">
        <v>233</v>
      </c>
      <c r="I18" s="166">
        <v>149414</v>
      </c>
      <c r="J18" s="166">
        <v>123654</v>
      </c>
      <c r="K18" s="166">
        <v>118662</v>
      </c>
      <c r="L18" s="139">
        <v>0.794</v>
      </c>
      <c r="M18" s="139">
        <v>0.96</v>
      </c>
      <c r="N18" s="143">
        <v>12275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60" customFormat="1" ht="24" customHeight="1">
      <c r="A19" s="115" t="s">
        <v>234</v>
      </c>
      <c r="B19" s="21" t="s">
        <v>9</v>
      </c>
      <c r="C19" s="21" t="s">
        <v>9</v>
      </c>
      <c r="D19" s="143">
        <v>31915580</v>
      </c>
      <c r="E19" s="171" t="s">
        <v>9</v>
      </c>
      <c r="F19" s="172" t="s">
        <v>9</v>
      </c>
      <c r="G19" s="143">
        <v>3324321</v>
      </c>
      <c r="H19" s="115" t="s">
        <v>234</v>
      </c>
      <c r="I19" s="173" t="s">
        <v>9</v>
      </c>
      <c r="J19" s="173" t="s">
        <v>9</v>
      </c>
      <c r="K19" s="166">
        <v>31916</v>
      </c>
      <c r="L19" s="171" t="s">
        <v>9</v>
      </c>
      <c r="M19" s="172" t="s">
        <v>9</v>
      </c>
      <c r="N19" s="143">
        <v>3325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s="60" customFormat="1" ht="19.5" customHeight="1">
      <c r="A20" s="115" t="s">
        <v>235</v>
      </c>
      <c r="B20" s="21" t="s">
        <v>9</v>
      </c>
      <c r="C20" s="21" t="s">
        <v>9</v>
      </c>
      <c r="D20" s="143">
        <v>99499862</v>
      </c>
      <c r="E20" s="171" t="s">
        <v>9</v>
      </c>
      <c r="F20" s="172" t="s">
        <v>9</v>
      </c>
      <c r="G20" s="143">
        <v>10576234</v>
      </c>
      <c r="H20" s="115" t="s">
        <v>235</v>
      </c>
      <c r="I20" s="173" t="s">
        <v>9</v>
      </c>
      <c r="J20" s="173" t="s">
        <v>9</v>
      </c>
      <c r="K20" s="61">
        <v>99500</v>
      </c>
      <c r="L20" s="171" t="s">
        <v>9</v>
      </c>
      <c r="M20" s="172" t="s">
        <v>9</v>
      </c>
      <c r="N20" s="61">
        <v>10576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s="179" customFormat="1" ht="17.25" customHeight="1">
      <c r="A21" s="117" t="s">
        <v>236</v>
      </c>
      <c r="B21" s="11" t="s">
        <v>9</v>
      </c>
      <c r="C21" s="11" t="s">
        <v>9</v>
      </c>
      <c r="D21" s="174">
        <v>89268060</v>
      </c>
      <c r="E21" s="175" t="s">
        <v>9</v>
      </c>
      <c r="F21" s="176" t="s">
        <v>9</v>
      </c>
      <c r="G21" s="143">
        <v>9498770</v>
      </c>
      <c r="H21" s="117" t="s">
        <v>237</v>
      </c>
      <c r="I21" s="177" t="s">
        <v>9</v>
      </c>
      <c r="J21" s="177" t="s">
        <v>9</v>
      </c>
      <c r="K21" s="178">
        <v>89268</v>
      </c>
      <c r="L21" s="175" t="s">
        <v>9</v>
      </c>
      <c r="M21" s="176" t="s">
        <v>9</v>
      </c>
      <c r="N21" s="174">
        <v>9499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s="179" customFormat="1" ht="17.25" customHeight="1">
      <c r="A22" s="117" t="s">
        <v>238</v>
      </c>
      <c r="B22" s="11" t="s">
        <v>9</v>
      </c>
      <c r="C22" s="11" t="s">
        <v>9</v>
      </c>
      <c r="D22" s="174">
        <v>10231802</v>
      </c>
      <c r="E22" s="175" t="s">
        <v>9</v>
      </c>
      <c r="F22" s="176" t="s">
        <v>9</v>
      </c>
      <c r="G22" s="143">
        <v>1077464</v>
      </c>
      <c r="H22" s="180" t="s">
        <v>239</v>
      </c>
      <c r="I22" s="177" t="s">
        <v>9</v>
      </c>
      <c r="J22" s="177" t="s">
        <v>9</v>
      </c>
      <c r="K22" s="178">
        <v>10232</v>
      </c>
      <c r="L22" s="175" t="s">
        <v>9</v>
      </c>
      <c r="M22" s="176" t="s">
        <v>9</v>
      </c>
      <c r="N22" s="174">
        <v>1077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60" customFormat="1" ht="20.25" customHeight="1">
      <c r="A23" s="115" t="s">
        <v>240</v>
      </c>
      <c r="B23" s="21" t="s">
        <v>9</v>
      </c>
      <c r="C23" s="21" t="s">
        <v>9</v>
      </c>
      <c r="D23" s="143">
        <v>188877</v>
      </c>
      <c r="E23" s="171" t="s">
        <v>9</v>
      </c>
      <c r="F23" s="172" t="s">
        <v>9</v>
      </c>
      <c r="G23" s="143">
        <v>2038</v>
      </c>
      <c r="H23" s="115" t="s">
        <v>240</v>
      </c>
      <c r="I23" s="173" t="s">
        <v>9</v>
      </c>
      <c r="J23" s="173" t="s">
        <v>9</v>
      </c>
      <c r="K23" s="166">
        <v>189</v>
      </c>
      <c r="L23" s="171" t="s">
        <v>9</v>
      </c>
      <c r="M23" s="172" t="s">
        <v>9</v>
      </c>
      <c r="N23" s="143">
        <v>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60" customFormat="1" ht="26.25" customHeight="1">
      <c r="A24" s="114" t="s">
        <v>241</v>
      </c>
      <c r="B24" s="168">
        <v>28881721</v>
      </c>
      <c r="C24" s="168">
        <v>26088850</v>
      </c>
      <c r="D24" s="168">
        <v>21935703</v>
      </c>
      <c r="E24" s="54">
        <v>0.76</v>
      </c>
      <c r="F24" s="54">
        <v>0.84</v>
      </c>
      <c r="G24" s="168">
        <v>4016512</v>
      </c>
      <c r="H24" s="114" t="s">
        <v>241</v>
      </c>
      <c r="I24" s="181">
        <v>28882</v>
      </c>
      <c r="J24" s="181">
        <v>26089</v>
      </c>
      <c r="K24" s="58">
        <v>21935</v>
      </c>
      <c r="L24" s="170">
        <v>0.759</v>
      </c>
      <c r="M24" s="170">
        <v>0.841</v>
      </c>
      <c r="N24" s="58">
        <v>4016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s="60" customFormat="1" ht="21.75" customHeight="1">
      <c r="A25" s="115" t="s">
        <v>242</v>
      </c>
      <c r="B25" s="21" t="s">
        <v>9</v>
      </c>
      <c r="C25" s="21" t="s">
        <v>9</v>
      </c>
      <c r="D25" s="143">
        <v>11484800</v>
      </c>
      <c r="E25" s="171" t="s">
        <v>9</v>
      </c>
      <c r="F25" s="172" t="s">
        <v>9</v>
      </c>
      <c r="G25" s="143">
        <v>2775848</v>
      </c>
      <c r="H25" s="115" t="s">
        <v>242</v>
      </c>
      <c r="I25" s="173" t="s">
        <v>9</v>
      </c>
      <c r="J25" s="173" t="s">
        <v>9</v>
      </c>
      <c r="K25" s="166">
        <v>11485</v>
      </c>
      <c r="L25" s="171" t="s">
        <v>9</v>
      </c>
      <c r="M25" s="172" t="s">
        <v>9</v>
      </c>
      <c r="N25" s="143">
        <v>2776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s="60" customFormat="1" ht="17.25" customHeight="1">
      <c r="A26" s="115" t="s">
        <v>243</v>
      </c>
      <c r="B26" s="21" t="s">
        <v>9</v>
      </c>
      <c r="C26" s="21" t="s">
        <v>9</v>
      </c>
      <c r="D26" s="143">
        <v>9844520</v>
      </c>
      <c r="E26" s="171" t="s">
        <v>9</v>
      </c>
      <c r="F26" s="172" t="s">
        <v>9</v>
      </c>
      <c r="G26" s="143">
        <v>1196575</v>
      </c>
      <c r="H26" s="115" t="s">
        <v>243</v>
      </c>
      <c r="I26" s="173" t="s">
        <v>9</v>
      </c>
      <c r="J26" s="173" t="s">
        <v>9</v>
      </c>
      <c r="K26" s="166">
        <v>9844</v>
      </c>
      <c r="L26" s="171" t="s">
        <v>9</v>
      </c>
      <c r="M26" s="172" t="s">
        <v>9</v>
      </c>
      <c r="N26" s="143">
        <v>1196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s="60" customFormat="1" ht="24" customHeight="1">
      <c r="A27" s="115" t="s">
        <v>244</v>
      </c>
      <c r="B27" s="21" t="s">
        <v>9</v>
      </c>
      <c r="C27" s="21" t="s">
        <v>9</v>
      </c>
      <c r="D27" s="143">
        <v>606383</v>
      </c>
      <c r="E27" s="171" t="s">
        <v>9</v>
      </c>
      <c r="F27" s="172" t="s">
        <v>9</v>
      </c>
      <c r="G27" s="143">
        <v>44089</v>
      </c>
      <c r="H27" s="115" t="s">
        <v>244</v>
      </c>
      <c r="I27" s="173" t="s">
        <v>9</v>
      </c>
      <c r="J27" s="173" t="s">
        <v>9</v>
      </c>
      <c r="K27" s="166">
        <v>606</v>
      </c>
      <c r="L27" s="171" t="s">
        <v>9</v>
      </c>
      <c r="M27" s="172" t="s">
        <v>9</v>
      </c>
      <c r="N27" s="143">
        <v>44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s="60" customFormat="1" ht="21" customHeight="1">
      <c r="A28" s="182" t="s">
        <v>245</v>
      </c>
      <c r="B28" s="168">
        <v>287809350</v>
      </c>
      <c r="C28" s="168">
        <v>240749300</v>
      </c>
      <c r="D28" s="168">
        <v>238605436</v>
      </c>
      <c r="E28" s="54">
        <v>0.83</v>
      </c>
      <c r="F28" s="54">
        <v>0.99</v>
      </c>
      <c r="G28" s="168">
        <v>27119600</v>
      </c>
      <c r="H28" s="182" t="s">
        <v>245</v>
      </c>
      <c r="I28" s="181">
        <v>287809</v>
      </c>
      <c r="J28" s="181">
        <v>240749</v>
      </c>
      <c r="K28" s="58">
        <v>238605</v>
      </c>
      <c r="L28" s="170">
        <v>0.829</v>
      </c>
      <c r="M28" s="170">
        <v>0.991</v>
      </c>
      <c r="N28" s="58">
        <v>27118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s="60" customFormat="1" ht="12.75">
      <c r="A29" s="64" t="s">
        <v>246</v>
      </c>
      <c r="B29" s="21" t="s">
        <v>9</v>
      </c>
      <c r="C29" s="21" t="s">
        <v>9</v>
      </c>
      <c r="D29" s="143">
        <v>15317102</v>
      </c>
      <c r="E29" s="171" t="s">
        <v>9</v>
      </c>
      <c r="F29" s="172" t="s">
        <v>9</v>
      </c>
      <c r="G29" s="143">
        <v>2732746</v>
      </c>
      <c r="H29" s="64" t="s">
        <v>246</v>
      </c>
      <c r="I29" s="173" t="s">
        <v>9</v>
      </c>
      <c r="J29" s="173" t="s">
        <v>9</v>
      </c>
      <c r="K29" s="183">
        <v>15317</v>
      </c>
      <c r="L29" s="171" t="s">
        <v>9</v>
      </c>
      <c r="M29" s="172" t="s">
        <v>9</v>
      </c>
      <c r="N29" s="143">
        <v>2732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s="60" customFormat="1" ht="15.75" customHeight="1">
      <c r="A30" s="115" t="s">
        <v>247</v>
      </c>
      <c r="B30" s="21" t="s">
        <v>9</v>
      </c>
      <c r="C30" s="21" t="s">
        <v>9</v>
      </c>
      <c r="D30" s="143">
        <v>69630349</v>
      </c>
      <c r="E30" s="171" t="s">
        <v>9</v>
      </c>
      <c r="F30" s="172" t="s">
        <v>9</v>
      </c>
      <c r="G30" s="143">
        <v>7093814</v>
      </c>
      <c r="H30" s="115" t="s">
        <v>247</v>
      </c>
      <c r="I30" s="173" t="s">
        <v>9</v>
      </c>
      <c r="J30" s="173" t="s">
        <v>9</v>
      </c>
      <c r="K30" s="166">
        <v>69630</v>
      </c>
      <c r="L30" s="171" t="s">
        <v>9</v>
      </c>
      <c r="M30" s="172" t="s">
        <v>9</v>
      </c>
      <c r="N30" s="143">
        <v>7093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60" customFormat="1" ht="16.5" customHeight="1">
      <c r="A31" s="115" t="s">
        <v>248</v>
      </c>
      <c r="B31" s="21" t="s">
        <v>9</v>
      </c>
      <c r="C31" s="21" t="s">
        <v>9</v>
      </c>
      <c r="D31" s="143">
        <v>5085842</v>
      </c>
      <c r="E31" s="171" t="s">
        <v>9</v>
      </c>
      <c r="F31" s="172" t="s">
        <v>9</v>
      </c>
      <c r="G31" s="143">
        <v>508584</v>
      </c>
      <c r="H31" s="115" t="s">
        <v>248</v>
      </c>
      <c r="I31" s="173" t="s">
        <v>9</v>
      </c>
      <c r="J31" s="173" t="s">
        <v>9</v>
      </c>
      <c r="K31" s="166">
        <v>5086</v>
      </c>
      <c r="L31" s="171" t="s">
        <v>9</v>
      </c>
      <c r="M31" s="172" t="s">
        <v>9</v>
      </c>
      <c r="N31" s="143">
        <v>509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60" customFormat="1" ht="15" customHeight="1">
      <c r="A32" s="115" t="s">
        <v>249</v>
      </c>
      <c r="B32" s="21" t="s">
        <v>9</v>
      </c>
      <c r="C32" s="21" t="s">
        <v>9</v>
      </c>
      <c r="D32" s="143">
        <v>82379268</v>
      </c>
      <c r="E32" s="171" t="s">
        <v>9</v>
      </c>
      <c r="F32" s="172" t="s">
        <v>9</v>
      </c>
      <c r="G32" s="143">
        <v>10214268</v>
      </c>
      <c r="H32" s="115" t="s">
        <v>249</v>
      </c>
      <c r="I32" s="173" t="s">
        <v>9</v>
      </c>
      <c r="J32" s="173" t="s">
        <v>9</v>
      </c>
      <c r="K32" s="184">
        <v>82379</v>
      </c>
      <c r="L32" s="171" t="s">
        <v>9</v>
      </c>
      <c r="M32" s="172" t="s">
        <v>9</v>
      </c>
      <c r="N32" s="61">
        <v>10214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s="186" customFormat="1" ht="16.5" customHeight="1">
      <c r="A33" s="117" t="s">
        <v>250</v>
      </c>
      <c r="B33" s="11" t="s">
        <v>9</v>
      </c>
      <c r="C33" s="11" t="s">
        <v>9</v>
      </c>
      <c r="D33" s="185">
        <v>51539129</v>
      </c>
      <c r="E33" s="175" t="s">
        <v>9</v>
      </c>
      <c r="F33" s="176" t="s">
        <v>9</v>
      </c>
      <c r="G33" s="143">
        <v>5862057</v>
      </c>
      <c r="H33" s="180" t="s">
        <v>251</v>
      </c>
      <c r="I33" s="177" t="s">
        <v>9</v>
      </c>
      <c r="J33" s="177" t="s">
        <v>9</v>
      </c>
      <c r="K33" s="178">
        <v>51539</v>
      </c>
      <c r="L33" s="175" t="s">
        <v>9</v>
      </c>
      <c r="M33" s="176" t="s">
        <v>9</v>
      </c>
      <c r="N33" s="174">
        <v>5862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s="186" customFormat="1" ht="15" customHeight="1">
      <c r="A34" s="117" t="s">
        <v>252</v>
      </c>
      <c r="B34" s="11" t="s">
        <v>9</v>
      </c>
      <c r="C34" s="11" t="s">
        <v>9</v>
      </c>
      <c r="D34" s="174">
        <v>30840139</v>
      </c>
      <c r="E34" s="175" t="s">
        <v>9</v>
      </c>
      <c r="F34" s="176" t="s">
        <v>9</v>
      </c>
      <c r="G34" s="143">
        <v>4352211</v>
      </c>
      <c r="H34" s="117" t="s">
        <v>253</v>
      </c>
      <c r="I34" s="177" t="s">
        <v>9</v>
      </c>
      <c r="J34" s="177" t="s">
        <v>9</v>
      </c>
      <c r="K34" s="178">
        <v>30840</v>
      </c>
      <c r="L34" s="175" t="s">
        <v>9</v>
      </c>
      <c r="M34" s="176" t="s">
        <v>9</v>
      </c>
      <c r="N34" s="174">
        <v>4352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14" ht="15" customHeight="1">
      <c r="A35" s="115" t="s">
        <v>254</v>
      </c>
      <c r="B35" s="21" t="s">
        <v>9</v>
      </c>
      <c r="C35" s="21" t="s">
        <v>9</v>
      </c>
      <c r="D35" s="143">
        <v>63394524</v>
      </c>
      <c r="E35" s="171" t="s">
        <v>9</v>
      </c>
      <c r="F35" s="172" t="s">
        <v>9</v>
      </c>
      <c r="G35" s="143">
        <v>6363921</v>
      </c>
      <c r="H35" s="115" t="s">
        <v>254</v>
      </c>
      <c r="I35" s="173" t="s">
        <v>9</v>
      </c>
      <c r="J35" s="173" t="s">
        <v>9</v>
      </c>
      <c r="K35" s="184">
        <v>63395</v>
      </c>
      <c r="L35" s="171" t="s">
        <v>9</v>
      </c>
      <c r="M35" s="172" t="s">
        <v>9</v>
      </c>
      <c r="N35" s="61">
        <v>6364</v>
      </c>
    </row>
    <row r="36" spans="1:84" s="187" customFormat="1" ht="15" customHeight="1">
      <c r="A36" s="180" t="s">
        <v>255</v>
      </c>
      <c r="B36" s="11" t="s">
        <v>9</v>
      </c>
      <c r="C36" s="11" t="s">
        <v>9</v>
      </c>
      <c r="D36" s="174">
        <v>3072552</v>
      </c>
      <c r="E36" s="175" t="s">
        <v>9</v>
      </c>
      <c r="F36" s="176" t="s">
        <v>9</v>
      </c>
      <c r="G36" s="143">
        <v>365850</v>
      </c>
      <c r="H36" s="180" t="s">
        <v>256</v>
      </c>
      <c r="I36" s="177" t="s">
        <v>9</v>
      </c>
      <c r="J36" s="177" t="s">
        <v>9</v>
      </c>
      <c r="K36" s="178">
        <v>3073</v>
      </c>
      <c r="L36" s="175" t="s">
        <v>9</v>
      </c>
      <c r="M36" s="176" t="s">
        <v>9</v>
      </c>
      <c r="N36" s="174">
        <v>366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1:84" s="187" customFormat="1" ht="15" customHeight="1">
      <c r="A37" s="117" t="s">
        <v>257</v>
      </c>
      <c r="B37" s="11" t="s">
        <v>9</v>
      </c>
      <c r="C37" s="11" t="s">
        <v>9</v>
      </c>
      <c r="D37" s="174">
        <v>50344692</v>
      </c>
      <c r="E37" s="175" t="s">
        <v>9</v>
      </c>
      <c r="F37" s="176" t="s">
        <v>9</v>
      </c>
      <c r="G37" s="143">
        <v>4741863</v>
      </c>
      <c r="H37" s="117" t="s">
        <v>258</v>
      </c>
      <c r="I37" s="177" t="s">
        <v>9</v>
      </c>
      <c r="J37" s="177" t="s">
        <v>9</v>
      </c>
      <c r="K37" s="178">
        <v>50345</v>
      </c>
      <c r="L37" s="175" t="s">
        <v>9</v>
      </c>
      <c r="M37" s="176" t="s">
        <v>9</v>
      </c>
      <c r="N37" s="174">
        <v>4742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s="187" customFormat="1" ht="15" customHeight="1">
      <c r="A38" s="117" t="s">
        <v>259</v>
      </c>
      <c r="B38" s="11" t="s">
        <v>9</v>
      </c>
      <c r="C38" s="11" t="s">
        <v>9</v>
      </c>
      <c r="D38" s="174">
        <v>5501480</v>
      </c>
      <c r="E38" s="175" t="s">
        <v>9</v>
      </c>
      <c r="F38" s="176" t="s">
        <v>9</v>
      </c>
      <c r="G38" s="143">
        <v>674329</v>
      </c>
      <c r="H38" s="117" t="s">
        <v>260</v>
      </c>
      <c r="I38" s="177" t="s">
        <v>9</v>
      </c>
      <c r="J38" s="177" t="s">
        <v>9</v>
      </c>
      <c r="K38" s="178">
        <v>5501</v>
      </c>
      <c r="L38" s="175" t="s">
        <v>9</v>
      </c>
      <c r="M38" s="176" t="s">
        <v>9</v>
      </c>
      <c r="N38" s="174">
        <v>674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s="187" customFormat="1" ht="15" customHeight="1">
      <c r="A39" s="117" t="s">
        <v>261</v>
      </c>
      <c r="B39" s="11" t="s">
        <v>9</v>
      </c>
      <c r="C39" s="11" t="s">
        <v>9</v>
      </c>
      <c r="D39" s="174">
        <v>4475800</v>
      </c>
      <c r="E39" s="175" t="s">
        <v>9</v>
      </c>
      <c r="F39" s="176" t="s">
        <v>9</v>
      </c>
      <c r="G39" s="143">
        <v>581879</v>
      </c>
      <c r="H39" s="117" t="s">
        <v>262</v>
      </c>
      <c r="I39" s="177" t="s">
        <v>9</v>
      </c>
      <c r="J39" s="177" t="s">
        <v>9</v>
      </c>
      <c r="K39" s="178">
        <v>4476</v>
      </c>
      <c r="L39" s="175" t="s">
        <v>9</v>
      </c>
      <c r="M39" s="176" t="s">
        <v>9</v>
      </c>
      <c r="N39" s="174">
        <v>582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14" ht="15.75" customHeight="1">
      <c r="A40" s="115" t="s">
        <v>263</v>
      </c>
      <c r="B40" s="143">
        <v>4502554</v>
      </c>
      <c r="C40" s="143">
        <v>4059834</v>
      </c>
      <c r="D40" s="143">
        <v>2798351</v>
      </c>
      <c r="E40" s="54">
        <v>0.62</v>
      </c>
      <c r="F40" s="54">
        <v>0.69</v>
      </c>
      <c r="G40" s="143">
        <v>206267</v>
      </c>
      <c r="H40" s="115" t="s">
        <v>263</v>
      </c>
      <c r="I40" s="188">
        <v>4503</v>
      </c>
      <c r="J40" s="188">
        <v>4060</v>
      </c>
      <c r="K40" s="166">
        <v>2798</v>
      </c>
      <c r="L40" s="139">
        <v>0.621</v>
      </c>
      <c r="M40" s="139">
        <v>0.689</v>
      </c>
      <c r="N40" s="143">
        <v>206</v>
      </c>
    </row>
    <row r="41" spans="1:14" ht="21" customHeight="1">
      <c r="A41" s="189" t="s">
        <v>264</v>
      </c>
      <c r="B41" s="140">
        <v>62464319</v>
      </c>
      <c r="C41" s="140">
        <v>55541811</v>
      </c>
      <c r="D41" s="140">
        <v>46315073</v>
      </c>
      <c r="E41" s="54">
        <v>0.74</v>
      </c>
      <c r="F41" s="54">
        <v>0.83</v>
      </c>
      <c r="G41" s="140">
        <v>5397569</v>
      </c>
      <c r="H41" s="189" t="s">
        <v>264</v>
      </c>
      <c r="I41" s="55">
        <v>62464</v>
      </c>
      <c r="J41" s="55">
        <v>55542</v>
      </c>
      <c r="K41" s="55">
        <v>46315</v>
      </c>
      <c r="L41" s="142">
        <v>0.741</v>
      </c>
      <c r="M41" s="142">
        <v>0.834</v>
      </c>
      <c r="N41" s="55">
        <v>5398</v>
      </c>
    </row>
    <row r="42" spans="1:14" ht="15" customHeight="1">
      <c r="A42" s="190" t="s">
        <v>265</v>
      </c>
      <c r="B42" s="143">
        <v>14475786</v>
      </c>
      <c r="C42" s="143">
        <v>12701950</v>
      </c>
      <c r="D42" s="143">
        <v>10213446</v>
      </c>
      <c r="E42" s="54">
        <v>0.71</v>
      </c>
      <c r="F42" s="54">
        <v>0.8</v>
      </c>
      <c r="G42" s="143">
        <v>1567712</v>
      </c>
      <c r="H42" s="190" t="s">
        <v>265</v>
      </c>
      <c r="I42" s="191">
        <v>14476</v>
      </c>
      <c r="J42" s="191">
        <v>12702</v>
      </c>
      <c r="K42" s="166">
        <v>10213</v>
      </c>
      <c r="L42" s="139">
        <v>0.706</v>
      </c>
      <c r="M42" s="139">
        <v>0.804</v>
      </c>
      <c r="N42" s="143">
        <v>1568</v>
      </c>
    </row>
    <row r="43" spans="1:14" ht="14.25" customHeight="1">
      <c r="A43" s="115" t="s">
        <v>266</v>
      </c>
      <c r="B43" s="143">
        <v>47988533</v>
      </c>
      <c r="C43" s="143">
        <v>42839861</v>
      </c>
      <c r="D43" s="174">
        <v>36101627</v>
      </c>
      <c r="E43" s="54">
        <v>0.75</v>
      </c>
      <c r="F43" s="54">
        <v>0.84</v>
      </c>
      <c r="G43" s="143">
        <v>3829857</v>
      </c>
      <c r="H43" s="115" t="s">
        <v>266</v>
      </c>
      <c r="I43" s="191">
        <v>47988</v>
      </c>
      <c r="J43" s="191">
        <v>42840</v>
      </c>
      <c r="K43" s="166">
        <v>36102</v>
      </c>
      <c r="L43" s="139">
        <v>0.752</v>
      </c>
      <c r="M43" s="139">
        <v>0.843</v>
      </c>
      <c r="N43" s="143">
        <v>3830</v>
      </c>
    </row>
    <row r="44" spans="1:14" ht="30" customHeight="1">
      <c r="A44" s="74" t="s">
        <v>267</v>
      </c>
      <c r="B44" s="21">
        <v>89768122</v>
      </c>
      <c r="C44" s="21" t="s">
        <v>9</v>
      </c>
      <c r="D44" s="192">
        <v>61968424</v>
      </c>
      <c r="E44" s="171" t="s">
        <v>9</v>
      </c>
      <c r="F44" s="172" t="s">
        <v>9</v>
      </c>
      <c r="G44" s="140">
        <v>5590426</v>
      </c>
      <c r="H44" s="74" t="s">
        <v>267</v>
      </c>
      <c r="I44" s="173" t="s">
        <v>9</v>
      </c>
      <c r="J44" s="173" t="s">
        <v>9</v>
      </c>
      <c r="K44" s="55">
        <v>61968</v>
      </c>
      <c r="L44" s="171" t="s">
        <v>9</v>
      </c>
      <c r="M44" s="172" t="s">
        <v>9</v>
      </c>
      <c r="N44" s="55">
        <v>5590</v>
      </c>
    </row>
    <row r="45" spans="1:14" ht="15" customHeight="1">
      <c r="A45" s="64" t="s">
        <v>268</v>
      </c>
      <c r="B45" s="143"/>
      <c r="C45" s="21" t="s">
        <v>9</v>
      </c>
      <c r="D45" s="193">
        <v>94926291</v>
      </c>
      <c r="E45" s="54"/>
      <c r="F45" s="54"/>
      <c r="G45" s="143">
        <v>6180228</v>
      </c>
      <c r="H45" s="64" t="s">
        <v>268</v>
      </c>
      <c r="I45" s="191">
        <v>0</v>
      </c>
      <c r="J45" s="194" t="s">
        <v>9</v>
      </c>
      <c r="K45" s="166">
        <v>94926</v>
      </c>
      <c r="L45" s="171" t="s">
        <v>9</v>
      </c>
      <c r="M45" s="171" t="s">
        <v>9</v>
      </c>
      <c r="N45" s="143">
        <v>6180</v>
      </c>
    </row>
    <row r="46" spans="1:14" ht="15" customHeight="1">
      <c r="A46" s="145" t="s">
        <v>269</v>
      </c>
      <c r="B46" s="143"/>
      <c r="C46" s="21" t="s">
        <v>9</v>
      </c>
      <c r="D46" s="195">
        <v>32957867</v>
      </c>
      <c r="E46" s="54"/>
      <c r="F46" s="54"/>
      <c r="G46" s="143">
        <v>589802</v>
      </c>
      <c r="H46" s="145" t="s">
        <v>269</v>
      </c>
      <c r="I46" s="191">
        <v>0</v>
      </c>
      <c r="J46" s="194" t="s">
        <v>9</v>
      </c>
      <c r="K46" s="166">
        <v>32958</v>
      </c>
      <c r="L46" s="171" t="s">
        <v>9</v>
      </c>
      <c r="M46" s="171" t="s">
        <v>9</v>
      </c>
      <c r="N46" s="143">
        <v>590</v>
      </c>
    </row>
    <row r="47" spans="1:84" s="60" customFormat="1" ht="19.5" customHeight="1" hidden="1">
      <c r="A47" s="121" t="s">
        <v>270</v>
      </c>
      <c r="B47" s="143">
        <v>-96292223</v>
      </c>
      <c r="C47" s="21" t="s">
        <v>9</v>
      </c>
      <c r="D47" s="140">
        <v>-38709061</v>
      </c>
      <c r="E47" s="54">
        <v>0.4</v>
      </c>
      <c r="F47" s="172" t="s">
        <v>9</v>
      </c>
      <c r="G47" s="140">
        <v>-4279155</v>
      </c>
      <c r="H47" s="121" t="s">
        <v>270</v>
      </c>
      <c r="I47" s="163">
        <v>-96292</v>
      </c>
      <c r="J47" s="173" t="s">
        <v>9</v>
      </c>
      <c r="K47" s="55">
        <v>-38709</v>
      </c>
      <c r="L47" s="142">
        <v>0.402</v>
      </c>
      <c r="M47" s="172" t="s">
        <v>9</v>
      </c>
      <c r="N47" s="55">
        <v>-4279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14" ht="12.75" customHeight="1">
      <c r="A48" s="91"/>
      <c r="B48" s="34"/>
      <c r="C48" s="34"/>
      <c r="D48" s="34"/>
      <c r="E48" s="196"/>
      <c r="F48" s="161"/>
      <c r="G48" s="2"/>
      <c r="H48" s="91"/>
      <c r="I48" s="34"/>
      <c r="J48" s="34"/>
      <c r="K48" s="34"/>
      <c r="L48" s="196"/>
      <c r="M48" s="161"/>
      <c r="N48" s="2"/>
    </row>
    <row r="49" spans="1:14" ht="0.75" customHeight="1" hidden="1">
      <c r="A49" s="84"/>
      <c r="B49" s="129"/>
      <c r="C49" s="129"/>
      <c r="D49" s="129"/>
      <c r="E49" s="155"/>
      <c r="F49" s="197"/>
      <c r="G49" s="2"/>
      <c r="H49" s="84"/>
      <c r="I49" s="129"/>
      <c r="J49" s="129"/>
      <c r="K49" s="129"/>
      <c r="L49" s="155"/>
      <c r="M49" s="197"/>
      <c r="N49" s="2"/>
    </row>
    <row r="50" spans="1:14" ht="12.75">
      <c r="A50" s="43"/>
      <c r="B50" s="133"/>
      <c r="C50" s="159"/>
      <c r="D50" s="157"/>
      <c r="E50" s="43"/>
      <c r="F50" s="158"/>
      <c r="G50" s="2"/>
      <c r="M50" s="158"/>
      <c r="N50" s="2"/>
    </row>
    <row r="51" spans="1:14" ht="12.75">
      <c r="A51" s="81" t="s">
        <v>271</v>
      </c>
      <c r="B51" s="43"/>
      <c r="C51" s="43"/>
      <c r="D51" s="43"/>
      <c r="E51" s="43"/>
      <c r="F51" s="43"/>
      <c r="G51" s="2"/>
      <c r="I51" s="43"/>
      <c r="J51" s="43"/>
      <c r="K51" s="43"/>
      <c r="L51" s="43"/>
      <c r="M51" s="43"/>
      <c r="N51" s="2"/>
    </row>
    <row r="52" spans="1:14" ht="12.75">
      <c r="A52" s="43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</row>
    <row r="54" spans="1:14" ht="12.75">
      <c r="A54" s="2" t="s">
        <v>134</v>
      </c>
      <c r="B54" s="2"/>
      <c r="C54" s="2"/>
      <c r="D54" s="2"/>
      <c r="E54" s="2"/>
      <c r="F54" s="2"/>
      <c r="G54" s="2"/>
      <c r="M54" s="2"/>
      <c r="N54" s="2"/>
    </row>
    <row r="55" spans="1:14" ht="12.75">
      <c r="A55" s="2" t="s">
        <v>136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7:14" ht="12.75">
      <c r="G58" s="2"/>
      <c r="N58" s="2"/>
    </row>
    <row r="59" ht="12.75">
      <c r="G59" s="2"/>
    </row>
    <row r="60" ht="12.75">
      <c r="G60" s="2"/>
    </row>
    <row r="61" spans="7:8" ht="12.75">
      <c r="G61" s="2"/>
      <c r="H61" s="81" t="s">
        <v>272</v>
      </c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3.5" customHeight="1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8" ht="12.75">
      <c r="A78" s="2"/>
      <c r="B78" s="2"/>
      <c r="C78" s="2"/>
      <c r="D78" s="2"/>
      <c r="E78" s="2"/>
      <c r="F78" s="2"/>
      <c r="G78" s="2"/>
      <c r="H78" s="43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8" ht="12.75">
      <c r="A86" s="2"/>
      <c r="B86" s="2"/>
      <c r="C86" s="2"/>
      <c r="D86" s="2"/>
      <c r="E86" s="2"/>
      <c r="F86" s="2"/>
      <c r="G86" s="2"/>
      <c r="H86" s="2" t="s">
        <v>134</v>
      </c>
    </row>
    <row r="87" spans="1:8" ht="12.75">
      <c r="A87" s="2"/>
      <c r="B87" s="2"/>
      <c r="C87" s="2"/>
      <c r="D87" s="2"/>
      <c r="E87" s="2"/>
      <c r="F87" s="2"/>
      <c r="G87" s="2"/>
      <c r="H87" s="2" t="s">
        <v>136</v>
      </c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5"/>
  <sheetViews>
    <sheetView workbookViewId="0" topLeftCell="G1">
      <selection activeCell="G13" sqref="G13"/>
    </sheetView>
  </sheetViews>
  <sheetFormatPr defaultColWidth="9.140625" defaultRowHeight="12.75"/>
  <cols>
    <col min="1" max="1" width="46.28125" style="198" hidden="1" customWidth="1"/>
    <col min="2" max="2" width="14.421875" style="198" hidden="1" customWidth="1"/>
    <col min="3" max="4" width="11.8515625" style="198" hidden="1" customWidth="1"/>
    <col min="5" max="5" width="10.140625" style="198" hidden="1" customWidth="1"/>
    <col min="6" max="6" width="12.28125" style="198" hidden="1" customWidth="1"/>
    <col min="7" max="7" width="48.710937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8515625" style="0" customWidth="1"/>
    <col min="34" max="16384" width="9.140625" style="48" customWidth="1"/>
  </cols>
  <sheetData>
    <row r="1" spans="1:12" ht="12.75">
      <c r="A1" s="31"/>
      <c r="B1" s="31"/>
      <c r="C1" s="31"/>
      <c r="D1" s="31"/>
      <c r="F1" s="198" t="s">
        <v>273</v>
      </c>
      <c r="L1" s="198" t="s">
        <v>273</v>
      </c>
    </row>
    <row r="2" spans="1:12" ht="12.75">
      <c r="A2" s="36" t="s">
        <v>46</v>
      </c>
      <c r="B2" s="36"/>
      <c r="C2" s="82"/>
      <c r="D2" s="82"/>
      <c r="E2" s="36"/>
      <c r="G2" s="301" t="s">
        <v>46</v>
      </c>
      <c r="H2" s="301"/>
      <c r="I2" s="301"/>
      <c r="J2" s="301"/>
      <c r="K2" s="301"/>
      <c r="L2" s="301"/>
    </row>
    <row r="3" spans="1:5" ht="12.75">
      <c r="A3" s="36"/>
      <c r="B3" s="36"/>
      <c r="C3" s="82"/>
      <c r="D3" s="82"/>
      <c r="E3" s="36"/>
    </row>
    <row r="4" spans="1:12" ht="18" customHeight="1">
      <c r="A4" s="302" t="s">
        <v>274</v>
      </c>
      <c r="B4" s="302"/>
      <c r="C4" s="302"/>
      <c r="D4" s="302"/>
      <c r="E4" s="302"/>
      <c r="F4" s="302"/>
      <c r="G4" s="302" t="s">
        <v>274</v>
      </c>
      <c r="H4" s="302"/>
      <c r="I4" s="302"/>
      <c r="J4" s="302"/>
      <c r="K4" s="302"/>
      <c r="L4" s="302"/>
    </row>
    <row r="5" spans="1:12" ht="18" customHeight="1">
      <c r="A5" s="302" t="s">
        <v>275</v>
      </c>
      <c r="B5" s="302"/>
      <c r="C5" s="302"/>
      <c r="D5" s="302"/>
      <c r="E5" s="302"/>
      <c r="F5" s="302"/>
      <c r="G5" s="302" t="s">
        <v>275</v>
      </c>
      <c r="H5" s="302"/>
      <c r="I5" s="302"/>
      <c r="J5" s="302"/>
      <c r="K5" s="302"/>
      <c r="L5" s="302"/>
    </row>
    <row r="6" spans="1:12" ht="12.75">
      <c r="A6" s="199"/>
      <c r="B6" s="31"/>
      <c r="C6" s="31"/>
      <c r="D6" s="31"/>
      <c r="F6" s="31" t="s">
        <v>276</v>
      </c>
      <c r="L6" s="31" t="s">
        <v>276</v>
      </c>
    </row>
    <row r="7" spans="1:12" ht="45">
      <c r="A7" s="4" t="s">
        <v>2</v>
      </c>
      <c r="B7" s="4" t="s">
        <v>49</v>
      </c>
      <c r="C7" s="4" t="s">
        <v>223</v>
      </c>
      <c r="D7" s="4" t="s">
        <v>50</v>
      </c>
      <c r="E7" s="4" t="s">
        <v>277</v>
      </c>
      <c r="F7" s="200" t="s">
        <v>143</v>
      </c>
      <c r="G7" s="4" t="s">
        <v>2</v>
      </c>
      <c r="H7" s="4" t="s">
        <v>49</v>
      </c>
      <c r="I7" s="4" t="s">
        <v>278</v>
      </c>
      <c r="J7" s="4" t="s">
        <v>50</v>
      </c>
      <c r="K7" s="4" t="s">
        <v>277</v>
      </c>
      <c r="L7" s="4" t="s">
        <v>143</v>
      </c>
    </row>
    <row r="8" spans="1:12" ht="12.75">
      <c r="A8" s="3">
        <v>1</v>
      </c>
      <c r="B8" s="95">
        <v>2</v>
      </c>
      <c r="C8" s="97">
        <v>3</v>
      </c>
      <c r="D8" s="97">
        <v>4</v>
      </c>
      <c r="E8" s="97">
        <v>5</v>
      </c>
      <c r="F8" s="201">
        <v>6</v>
      </c>
      <c r="G8" s="3">
        <v>1</v>
      </c>
      <c r="H8" s="95">
        <v>2</v>
      </c>
      <c r="I8" s="97">
        <v>3</v>
      </c>
      <c r="J8" s="97">
        <v>4</v>
      </c>
      <c r="K8" s="97">
        <v>5</v>
      </c>
      <c r="L8" s="3">
        <v>6</v>
      </c>
    </row>
    <row r="9" spans="1:33" s="198" customFormat="1" ht="21" customHeight="1">
      <c r="A9" s="30" t="s">
        <v>279</v>
      </c>
      <c r="B9" s="164">
        <v>766212969</v>
      </c>
      <c r="C9" s="6">
        <v>625086298</v>
      </c>
      <c r="D9" s="6">
        <v>576943070</v>
      </c>
      <c r="E9" s="54">
        <v>0.75</v>
      </c>
      <c r="F9" s="202">
        <v>60539943</v>
      </c>
      <c r="G9" s="30" t="s">
        <v>279</v>
      </c>
      <c r="H9" s="164">
        <v>766213</v>
      </c>
      <c r="I9" s="164">
        <v>625086</v>
      </c>
      <c r="J9" s="164">
        <v>576943</v>
      </c>
      <c r="K9" s="56">
        <v>0.753</v>
      </c>
      <c r="L9" s="164">
        <v>60538</v>
      </c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</row>
    <row r="10" spans="1:33" s="198" customFormat="1" ht="28.5" customHeight="1">
      <c r="A10" s="30" t="s">
        <v>280</v>
      </c>
      <c r="B10" s="6">
        <v>858962243</v>
      </c>
      <c r="C10" s="6">
        <v>701172361</v>
      </c>
      <c r="D10" s="6">
        <v>650179508</v>
      </c>
      <c r="E10" s="204">
        <v>0.757</v>
      </c>
      <c r="F10" s="202">
        <v>63628987</v>
      </c>
      <c r="G10" s="30" t="s">
        <v>280</v>
      </c>
      <c r="H10" s="164">
        <v>858962</v>
      </c>
      <c r="I10" s="164">
        <v>701172</v>
      </c>
      <c r="J10" s="164">
        <v>650180</v>
      </c>
      <c r="K10" s="56">
        <v>0.757</v>
      </c>
      <c r="L10" s="164">
        <v>63630</v>
      </c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</row>
    <row r="11" spans="1:12" ht="12.75">
      <c r="A11" s="205" t="s">
        <v>281</v>
      </c>
      <c r="B11" s="23">
        <v>809221988</v>
      </c>
      <c r="C11" s="23">
        <v>653939370</v>
      </c>
      <c r="D11" s="23">
        <v>608948947</v>
      </c>
      <c r="E11" s="206">
        <v>0.753</v>
      </c>
      <c r="F11" s="207">
        <v>59019856</v>
      </c>
      <c r="G11" s="205" t="s">
        <v>281</v>
      </c>
      <c r="H11" s="61">
        <v>809222</v>
      </c>
      <c r="I11" s="23">
        <v>653939</v>
      </c>
      <c r="J11" s="23">
        <v>608949</v>
      </c>
      <c r="K11" s="63">
        <v>0.753</v>
      </c>
      <c r="L11" s="23">
        <v>59020</v>
      </c>
    </row>
    <row r="12" spans="1:12" ht="12.75">
      <c r="A12" s="205" t="s">
        <v>282</v>
      </c>
      <c r="B12" s="23">
        <v>49740255</v>
      </c>
      <c r="C12" s="23">
        <v>47232991</v>
      </c>
      <c r="D12" s="23">
        <v>41230561</v>
      </c>
      <c r="E12" s="206">
        <v>0.829</v>
      </c>
      <c r="F12" s="207">
        <v>4609131</v>
      </c>
      <c r="G12" s="205" t="s">
        <v>282</v>
      </c>
      <c r="H12" s="61">
        <v>49740</v>
      </c>
      <c r="I12" s="23">
        <v>47233</v>
      </c>
      <c r="J12" s="23">
        <v>41231</v>
      </c>
      <c r="K12" s="63">
        <v>0.829</v>
      </c>
      <c r="L12" s="23">
        <v>4610</v>
      </c>
    </row>
    <row r="13" spans="1:33" s="162" customFormat="1" ht="18.75" customHeight="1">
      <c r="A13" s="30" t="s">
        <v>283</v>
      </c>
      <c r="B13" s="6">
        <v>3756000</v>
      </c>
      <c r="C13" s="6">
        <v>0</v>
      </c>
      <c r="D13" s="6">
        <v>2086369</v>
      </c>
      <c r="E13" s="204">
        <v>0.555</v>
      </c>
      <c r="F13" s="202">
        <v>370336</v>
      </c>
      <c r="G13" s="30" t="s">
        <v>283</v>
      </c>
      <c r="H13" s="164">
        <v>3756</v>
      </c>
      <c r="I13" s="164">
        <v>0</v>
      </c>
      <c r="J13" s="164">
        <v>2086</v>
      </c>
      <c r="K13" s="56">
        <v>0.555</v>
      </c>
      <c r="L13" s="164">
        <v>370</v>
      </c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</row>
    <row r="14" spans="1:33" s="162" customFormat="1" ht="16.5" customHeight="1">
      <c r="A14" s="30" t="s">
        <v>284</v>
      </c>
      <c r="B14" s="6">
        <v>5250</v>
      </c>
      <c r="C14" s="6">
        <v>0</v>
      </c>
      <c r="D14" s="6">
        <v>14831</v>
      </c>
      <c r="E14" s="204">
        <v>2.825</v>
      </c>
      <c r="F14" s="202">
        <v>3544</v>
      </c>
      <c r="G14" s="30" t="s">
        <v>284</v>
      </c>
      <c r="H14" s="164">
        <v>5</v>
      </c>
      <c r="I14" s="164">
        <v>0</v>
      </c>
      <c r="J14" s="164">
        <v>15</v>
      </c>
      <c r="K14" s="56">
        <v>3</v>
      </c>
      <c r="L14" s="164">
        <v>4</v>
      </c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</row>
    <row r="15" spans="1:33" s="162" customFormat="1" ht="16.5" customHeight="1">
      <c r="A15" s="30" t="s">
        <v>285</v>
      </c>
      <c r="B15" s="6">
        <v>-96500024</v>
      </c>
      <c r="C15" s="6">
        <v>-76086063</v>
      </c>
      <c r="D15" s="6">
        <v>-75307976</v>
      </c>
      <c r="E15" s="204">
        <v>0.78</v>
      </c>
      <c r="F15" s="202">
        <v>-3455836</v>
      </c>
      <c r="G15" s="30" t="s">
        <v>285</v>
      </c>
      <c r="H15" s="6">
        <v>-96500</v>
      </c>
      <c r="I15" s="103">
        <v>-76086</v>
      </c>
      <c r="J15" s="103">
        <v>-75308</v>
      </c>
      <c r="K15" s="56">
        <v>0.78</v>
      </c>
      <c r="L15" s="103">
        <v>-3458</v>
      </c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</row>
    <row r="16" spans="1:33" s="162" customFormat="1" ht="12.75">
      <c r="A16" s="209" t="s">
        <v>286</v>
      </c>
      <c r="B16" s="6">
        <v>79270566</v>
      </c>
      <c r="C16" s="6">
        <v>0</v>
      </c>
      <c r="D16" s="6">
        <v>56038942</v>
      </c>
      <c r="E16" s="204">
        <v>0.707</v>
      </c>
      <c r="F16" s="202">
        <v>4196327</v>
      </c>
      <c r="G16" s="209" t="s">
        <v>286</v>
      </c>
      <c r="H16" s="6">
        <v>79270</v>
      </c>
      <c r="I16" s="164">
        <v>25695</v>
      </c>
      <c r="J16" s="164">
        <v>56038</v>
      </c>
      <c r="K16" s="56">
        <v>0.707</v>
      </c>
      <c r="L16" s="164">
        <v>4186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</row>
    <row r="17" spans="1:12" ht="15" customHeight="1">
      <c r="A17" s="30" t="s">
        <v>192</v>
      </c>
      <c r="B17" s="6"/>
      <c r="C17" s="6"/>
      <c r="D17" s="6"/>
      <c r="E17" s="204" t="s">
        <v>63</v>
      </c>
      <c r="F17" s="202"/>
      <c r="G17" s="30" t="s">
        <v>192</v>
      </c>
      <c r="H17" s="210"/>
      <c r="I17" s="210"/>
      <c r="J17" s="210"/>
      <c r="K17" s="59"/>
      <c r="L17" s="210"/>
    </row>
    <row r="18" spans="1:12" ht="12.75">
      <c r="A18" s="211" t="s">
        <v>287</v>
      </c>
      <c r="B18" s="23"/>
      <c r="C18" s="23"/>
      <c r="D18" s="23"/>
      <c r="E18" s="204" t="s">
        <v>63</v>
      </c>
      <c r="F18" s="207"/>
      <c r="G18" s="211" t="s">
        <v>287</v>
      </c>
      <c r="H18" s="184"/>
      <c r="I18" s="184"/>
      <c r="J18" s="184"/>
      <c r="K18" s="59"/>
      <c r="L18" s="184"/>
    </row>
    <row r="19" spans="1:12" ht="12.75">
      <c r="A19" s="165" t="s">
        <v>288</v>
      </c>
      <c r="B19" s="23">
        <v>44790000</v>
      </c>
      <c r="C19" s="23">
        <v>10046000</v>
      </c>
      <c r="D19" s="23">
        <v>4740066</v>
      </c>
      <c r="E19" s="206">
        <v>0.106</v>
      </c>
      <c r="F19" s="207">
        <v>631056</v>
      </c>
      <c r="G19" s="165" t="s">
        <v>288</v>
      </c>
      <c r="H19" s="61">
        <v>44790</v>
      </c>
      <c r="I19" s="61">
        <v>10046</v>
      </c>
      <c r="J19" s="61">
        <v>4740</v>
      </c>
      <c r="K19" s="63">
        <v>0.106</v>
      </c>
      <c r="L19" s="61">
        <v>631</v>
      </c>
    </row>
    <row r="20" spans="1:12" ht="12.75">
      <c r="A20" s="165" t="s">
        <v>289</v>
      </c>
      <c r="B20" s="23">
        <v>45451869</v>
      </c>
      <c r="C20" s="23">
        <v>10228000</v>
      </c>
      <c r="D20" s="23">
        <v>4487354</v>
      </c>
      <c r="E20" s="206">
        <v>0.099</v>
      </c>
      <c r="F20" s="207">
        <v>24354</v>
      </c>
      <c r="G20" s="165" t="s">
        <v>289</v>
      </c>
      <c r="H20" s="61">
        <v>45452</v>
      </c>
      <c r="I20" s="23">
        <v>10228</v>
      </c>
      <c r="J20" s="23">
        <v>4487</v>
      </c>
      <c r="K20" s="63">
        <v>0.099</v>
      </c>
      <c r="L20" s="184">
        <v>24</v>
      </c>
    </row>
    <row r="21" spans="1:12" ht="12.75">
      <c r="A21" s="165" t="s">
        <v>281</v>
      </c>
      <c r="B21" s="23">
        <v>45451869</v>
      </c>
      <c r="C21" s="43">
        <v>10228000</v>
      </c>
      <c r="D21" s="43">
        <v>4487354</v>
      </c>
      <c r="E21" s="206">
        <v>0.099</v>
      </c>
      <c r="F21" s="207">
        <v>24354</v>
      </c>
      <c r="G21" s="165" t="s">
        <v>281</v>
      </c>
      <c r="H21" s="61">
        <v>45452</v>
      </c>
      <c r="I21" s="61">
        <v>10228</v>
      </c>
      <c r="J21" s="61">
        <v>4487</v>
      </c>
      <c r="K21" s="63">
        <v>0.099</v>
      </c>
      <c r="L21" s="61">
        <v>24</v>
      </c>
    </row>
    <row r="22" spans="1:12" ht="12.75">
      <c r="A22" s="212" t="s">
        <v>290</v>
      </c>
      <c r="B22" s="23">
        <v>38313869</v>
      </c>
      <c r="C22" s="23"/>
      <c r="D22" s="23">
        <v>3636000</v>
      </c>
      <c r="E22" s="206">
        <v>0.095</v>
      </c>
      <c r="F22" s="207">
        <v>0</v>
      </c>
      <c r="G22" s="212" t="s">
        <v>290</v>
      </c>
      <c r="H22" s="69">
        <v>38314</v>
      </c>
      <c r="I22" s="69">
        <v>0</v>
      </c>
      <c r="J22" s="69">
        <v>3636</v>
      </c>
      <c r="K22" s="70">
        <v>0.095</v>
      </c>
      <c r="L22" s="69">
        <v>0</v>
      </c>
    </row>
    <row r="23" spans="1:12" ht="12.75">
      <c r="A23" s="211" t="s">
        <v>291</v>
      </c>
      <c r="B23" s="23"/>
      <c r="C23" s="23"/>
      <c r="D23" s="23"/>
      <c r="E23" s="206" t="s">
        <v>63</v>
      </c>
      <c r="F23" s="207"/>
      <c r="G23" s="211" t="s">
        <v>291</v>
      </c>
      <c r="H23" s="184"/>
      <c r="I23" s="184"/>
      <c r="J23" s="184"/>
      <c r="K23" s="63"/>
      <c r="L23" s="184"/>
    </row>
    <row r="24" spans="1:12" ht="12.75">
      <c r="A24" s="165" t="s">
        <v>288</v>
      </c>
      <c r="B24" s="23">
        <v>3307500</v>
      </c>
      <c r="C24" s="23">
        <v>2727500</v>
      </c>
      <c r="D24" s="23">
        <v>2172721</v>
      </c>
      <c r="E24" s="206">
        <v>0.657</v>
      </c>
      <c r="F24" s="207">
        <v>262959</v>
      </c>
      <c r="G24" s="165" t="s">
        <v>288</v>
      </c>
      <c r="H24" s="61">
        <v>3308</v>
      </c>
      <c r="I24" s="61">
        <v>2728</v>
      </c>
      <c r="J24" s="61">
        <v>2173</v>
      </c>
      <c r="K24" s="63">
        <v>0.657</v>
      </c>
      <c r="L24" s="61">
        <v>263</v>
      </c>
    </row>
    <row r="25" spans="1:12" ht="12.75">
      <c r="A25" s="165" t="s">
        <v>289</v>
      </c>
      <c r="B25" s="23">
        <v>2607500</v>
      </c>
      <c r="C25" s="23">
        <v>2083500</v>
      </c>
      <c r="D25" s="23">
        <v>2042870</v>
      </c>
      <c r="E25" s="206">
        <v>0.783</v>
      </c>
      <c r="F25" s="207">
        <v>326266</v>
      </c>
      <c r="G25" s="165" t="s">
        <v>289</v>
      </c>
      <c r="H25" s="184">
        <v>2608</v>
      </c>
      <c r="I25" s="184">
        <v>2083</v>
      </c>
      <c r="J25" s="184">
        <v>2043</v>
      </c>
      <c r="K25" s="63">
        <v>0.783</v>
      </c>
      <c r="L25" s="184">
        <v>326</v>
      </c>
    </row>
    <row r="26" spans="1:12" ht="12.75">
      <c r="A26" s="165" t="s">
        <v>281</v>
      </c>
      <c r="B26" s="23">
        <v>2521500</v>
      </c>
      <c r="C26" s="23">
        <v>1997500</v>
      </c>
      <c r="D26" s="23">
        <v>1989998</v>
      </c>
      <c r="E26" s="206">
        <v>0.789</v>
      </c>
      <c r="F26" s="207">
        <v>319476</v>
      </c>
      <c r="G26" s="165" t="s">
        <v>281</v>
      </c>
      <c r="H26" s="61">
        <v>2522</v>
      </c>
      <c r="I26" s="61">
        <v>1997</v>
      </c>
      <c r="J26" s="61">
        <v>1990</v>
      </c>
      <c r="K26" s="63">
        <v>0.789</v>
      </c>
      <c r="L26" s="61">
        <v>319</v>
      </c>
    </row>
    <row r="27" spans="1:12" ht="12.75">
      <c r="A27" s="165" t="s">
        <v>282</v>
      </c>
      <c r="B27" s="23">
        <v>86000</v>
      </c>
      <c r="C27" s="23">
        <v>86000</v>
      </c>
      <c r="D27" s="23">
        <v>52872</v>
      </c>
      <c r="E27" s="206">
        <v>0.615</v>
      </c>
      <c r="F27" s="207">
        <v>6790</v>
      </c>
      <c r="G27" s="165" t="s">
        <v>282</v>
      </c>
      <c r="H27" s="61">
        <v>86</v>
      </c>
      <c r="I27" s="61">
        <v>86</v>
      </c>
      <c r="J27" s="61">
        <v>53</v>
      </c>
      <c r="K27" s="63">
        <v>0.616</v>
      </c>
      <c r="L27" s="61">
        <v>7</v>
      </c>
    </row>
    <row r="28" spans="1:12" ht="15" customHeight="1">
      <c r="A28" s="30" t="s">
        <v>193</v>
      </c>
      <c r="B28" s="6"/>
      <c r="C28" s="6"/>
      <c r="D28" s="6"/>
      <c r="E28" s="206" t="s">
        <v>63</v>
      </c>
      <c r="F28" s="202"/>
      <c r="G28" s="30" t="s">
        <v>193</v>
      </c>
      <c r="H28" s="210"/>
      <c r="I28" s="210"/>
      <c r="J28" s="210"/>
      <c r="K28" s="63"/>
      <c r="L28" s="210"/>
    </row>
    <row r="29" spans="1:12" ht="27.75" customHeight="1">
      <c r="A29" s="213" t="s">
        <v>292</v>
      </c>
      <c r="B29" s="23"/>
      <c r="C29" s="23"/>
      <c r="D29" s="23"/>
      <c r="E29" s="206" t="s">
        <v>63</v>
      </c>
      <c r="F29" s="207"/>
      <c r="G29" s="213" t="s">
        <v>292</v>
      </c>
      <c r="H29" s="184"/>
      <c r="I29" s="184"/>
      <c r="J29" s="184"/>
      <c r="K29" s="63"/>
      <c r="L29" s="184"/>
    </row>
    <row r="30" spans="1:12" ht="12.75">
      <c r="A30" s="165" t="s">
        <v>288</v>
      </c>
      <c r="B30" s="23">
        <v>1764000</v>
      </c>
      <c r="C30" s="23">
        <v>1623860</v>
      </c>
      <c r="D30" s="23">
        <v>2261758</v>
      </c>
      <c r="E30" s="206">
        <v>1.282</v>
      </c>
      <c r="F30" s="207">
        <v>300302</v>
      </c>
      <c r="G30" s="165" t="s">
        <v>288</v>
      </c>
      <c r="H30" s="184">
        <v>1764</v>
      </c>
      <c r="I30" s="61">
        <v>1624</v>
      </c>
      <c r="J30" s="184">
        <v>2261</v>
      </c>
      <c r="K30" s="63">
        <v>1.282</v>
      </c>
      <c r="L30" s="184">
        <v>299</v>
      </c>
    </row>
    <row r="31" spans="1:12" ht="12.75">
      <c r="A31" s="115" t="s">
        <v>293</v>
      </c>
      <c r="B31" s="23">
        <v>1550000</v>
      </c>
      <c r="C31" s="23"/>
      <c r="D31" s="23">
        <v>1979333</v>
      </c>
      <c r="E31" s="206">
        <v>1.277</v>
      </c>
      <c r="F31" s="207">
        <v>272716</v>
      </c>
      <c r="G31" s="115" t="s">
        <v>293</v>
      </c>
      <c r="H31" s="61">
        <v>1550</v>
      </c>
      <c r="I31" s="61">
        <v>0</v>
      </c>
      <c r="J31" s="61">
        <v>1979</v>
      </c>
      <c r="K31" s="63">
        <v>1.277</v>
      </c>
      <c r="L31" s="61">
        <v>272</v>
      </c>
    </row>
    <row r="32" spans="1:12" ht="12.75">
      <c r="A32" s="190" t="s">
        <v>294</v>
      </c>
      <c r="B32" s="23">
        <v>214000</v>
      </c>
      <c r="C32" s="23"/>
      <c r="D32" s="23">
        <v>282425</v>
      </c>
      <c r="E32" s="206">
        <v>1.32</v>
      </c>
      <c r="F32" s="207">
        <v>27586</v>
      </c>
      <c r="G32" s="190" t="s">
        <v>294</v>
      </c>
      <c r="H32" s="61">
        <v>214</v>
      </c>
      <c r="I32" s="61">
        <v>0</v>
      </c>
      <c r="J32" s="61">
        <v>282</v>
      </c>
      <c r="K32" s="63">
        <v>1.318</v>
      </c>
      <c r="L32" s="61">
        <v>27</v>
      </c>
    </row>
    <row r="33" spans="1:12" ht="12.75">
      <c r="A33" s="165" t="s">
        <v>289</v>
      </c>
      <c r="B33" s="23">
        <v>764000</v>
      </c>
      <c r="C33" s="23">
        <v>642775</v>
      </c>
      <c r="D33" s="23">
        <v>555669</v>
      </c>
      <c r="E33" s="206">
        <v>0.727</v>
      </c>
      <c r="F33" s="207">
        <v>42853</v>
      </c>
      <c r="G33" s="165" t="s">
        <v>289</v>
      </c>
      <c r="H33" s="184">
        <v>764</v>
      </c>
      <c r="I33" s="184">
        <v>643</v>
      </c>
      <c r="J33" s="184">
        <v>555</v>
      </c>
      <c r="K33" s="63">
        <v>0.726</v>
      </c>
      <c r="L33" s="184">
        <v>42</v>
      </c>
    </row>
    <row r="34" spans="1:12" ht="12.75">
      <c r="A34" s="165" t="s">
        <v>281</v>
      </c>
      <c r="B34" s="23">
        <v>764000</v>
      </c>
      <c r="C34" s="23">
        <v>642775</v>
      </c>
      <c r="D34" s="23">
        <v>555669</v>
      </c>
      <c r="E34" s="206">
        <v>0.727</v>
      </c>
      <c r="F34" s="207">
        <v>42853</v>
      </c>
      <c r="G34" s="165" t="s">
        <v>281</v>
      </c>
      <c r="H34" s="61">
        <v>764</v>
      </c>
      <c r="I34" s="61">
        <v>643</v>
      </c>
      <c r="J34" s="61">
        <v>555</v>
      </c>
      <c r="K34" s="63">
        <v>0.726</v>
      </c>
      <c r="L34" s="61">
        <v>42</v>
      </c>
    </row>
    <row r="35" spans="1:12" ht="24.75" customHeight="1">
      <c r="A35" s="213" t="s">
        <v>295</v>
      </c>
      <c r="B35" s="23"/>
      <c r="C35" s="23"/>
      <c r="D35" s="23"/>
      <c r="E35" s="206" t="s">
        <v>63</v>
      </c>
      <c r="F35" s="207"/>
      <c r="G35" s="213" t="s">
        <v>295</v>
      </c>
      <c r="H35" s="184"/>
      <c r="I35" s="184"/>
      <c r="J35" s="184"/>
      <c r="K35" s="63"/>
      <c r="L35" s="184"/>
    </row>
    <row r="36" spans="1:12" ht="12.75">
      <c r="A36" s="165" t="s">
        <v>288</v>
      </c>
      <c r="B36" s="23">
        <v>147000</v>
      </c>
      <c r="C36" s="23">
        <v>147000</v>
      </c>
      <c r="D36" s="23">
        <v>219897</v>
      </c>
      <c r="E36" s="206">
        <v>1.496</v>
      </c>
      <c r="F36" s="207">
        <v>66838</v>
      </c>
      <c r="G36" s="165" t="s">
        <v>288</v>
      </c>
      <c r="H36" s="184">
        <v>147</v>
      </c>
      <c r="I36" s="61">
        <v>147</v>
      </c>
      <c r="J36" s="184">
        <v>220</v>
      </c>
      <c r="K36" s="63">
        <v>1.497</v>
      </c>
      <c r="L36" s="184">
        <v>67</v>
      </c>
    </row>
    <row r="37" spans="1:12" ht="12.75">
      <c r="A37" s="115" t="s">
        <v>296</v>
      </c>
      <c r="B37" s="23">
        <v>147000</v>
      </c>
      <c r="C37" s="23"/>
      <c r="D37" s="23">
        <v>219906</v>
      </c>
      <c r="E37" s="206">
        <v>1.496</v>
      </c>
      <c r="F37" s="207">
        <v>66838</v>
      </c>
      <c r="G37" s="115" t="s">
        <v>296</v>
      </c>
      <c r="H37" s="61">
        <v>147</v>
      </c>
      <c r="I37" s="61">
        <v>0</v>
      </c>
      <c r="J37" s="61">
        <v>220</v>
      </c>
      <c r="K37" s="63">
        <v>1.497</v>
      </c>
      <c r="L37" s="61">
        <v>67</v>
      </c>
    </row>
    <row r="38" spans="1:12" ht="12.75">
      <c r="A38" s="115" t="s">
        <v>294</v>
      </c>
      <c r="B38" s="23"/>
      <c r="C38" s="23"/>
      <c r="D38" s="23">
        <v>-9</v>
      </c>
      <c r="E38" s="206" t="s">
        <v>63</v>
      </c>
      <c r="F38" s="207">
        <v>0</v>
      </c>
      <c r="G38" s="115" t="s">
        <v>294</v>
      </c>
      <c r="H38" s="61">
        <v>0</v>
      </c>
      <c r="I38" s="184"/>
      <c r="J38" s="184"/>
      <c r="K38" s="63" t="s">
        <v>63</v>
      </c>
      <c r="L38" s="61">
        <v>0</v>
      </c>
    </row>
    <row r="39" spans="1:12" ht="12.75">
      <c r="A39" s="165" t="s">
        <v>289</v>
      </c>
      <c r="B39" s="23"/>
      <c r="C39" s="23">
        <v>0</v>
      </c>
      <c r="D39" s="23">
        <v>0</v>
      </c>
      <c r="E39" s="206" t="s">
        <v>63</v>
      </c>
      <c r="F39" s="207">
        <v>0</v>
      </c>
      <c r="G39" s="165" t="s">
        <v>289</v>
      </c>
      <c r="H39" s="184">
        <v>0</v>
      </c>
      <c r="I39" s="184">
        <v>0</v>
      </c>
      <c r="J39" s="184">
        <v>0</v>
      </c>
      <c r="K39" s="63" t="s">
        <v>63</v>
      </c>
      <c r="L39" s="184">
        <v>0</v>
      </c>
    </row>
    <row r="40" spans="1:12" ht="12.75">
      <c r="A40" s="165" t="s">
        <v>281</v>
      </c>
      <c r="B40" s="23"/>
      <c r="C40" s="23"/>
      <c r="D40" s="23"/>
      <c r="E40" s="206" t="s">
        <v>63</v>
      </c>
      <c r="F40" s="207">
        <v>0</v>
      </c>
      <c r="G40" s="165" t="s">
        <v>281</v>
      </c>
      <c r="H40" s="61">
        <v>0</v>
      </c>
      <c r="I40" s="61">
        <v>0</v>
      </c>
      <c r="J40" s="61">
        <v>0</v>
      </c>
      <c r="K40" s="63" t="s">
        <v>63</v>
      </c>
      <c r="L40" s="61">
        <v>0</v>
      </c>
    </row>
    <row r="41" spans="1:12" ht="15.75" customHeight="1">
      <c r="A41" s="213" t="s">
        <v>297</v>
      </c>
      <c r="B41" s="23"/>
      <c r="C41" s="23"/>
      <c r="D41" s="23"/>
      <c r="E41" s="206" t="s">
        <v>63</v>
      </c>
      <c r="F41" s="207"/>
      <c r="G41" s="213" t="s">
        <v>297</v>
      </c>
      <c r="H41" s="184"/>
      <c r="I41" s="184"/>
      <c r="J41" s="184"/>
      <c r="K41" s="63"/>
      <c r="L41" s="184"/>
    </row>
    <row r="42" spans="1:12" ht="12.75">
      <c r="A42" s="165" t="s">
        <v>288</v>
      </c>
      <c r="B42" s="23">
        <v>88200</v>
      </c>
      <c r="C42" s="23">
        <v>88200</v>
      </c>
      <c r="D42" s="23">
        <v>121816</v>
      </c>
      <c r="E42" s="206">
        <v>1.381</v>
      </c>
      <c r="F42" s="207">
        <v>37627</v>
      </c>
      <c r="G42" s="165" t="s">
        <v>288</v>
      </c>
      <c r="H42" s="184">
        <v>88</v>
      </c>
      <c r="I42" s="61">
        <v>88</v>
      </c>
      <c r="J42" s="184">
        <v>122</v>
      </c>
      <c r="K42" s="63">
        <v>1.386</v>
      </c>
      <c r="L42" s="184">
        <v>38</v>
      </c>
    </row>
    <row r="43" spans="1:12" ht="12.75">
      <c r="A43" s="115" t="s">
        <v>296</v>
      </c>
      <c r="B43" s="23">
        <v>88200</v>
      </c>
      <c r="C43" s="23"/>
      <c r="D43" s="23">
        <v>121816</v>
      </c>
      <c r="E43" s="206">
        <v>1.381</v>
      </c>
      <c r="F43" s="207">
        <v>37627</v>
      </c>
      <c r="G43" s="115" t="s">
        <v>296</v>
      </c>
      <c r="H43" s="61">
        <v>88</v>
      </c>
      <c r="I43" s="61">
        <v>0</v>
      </c>
      <c r="J43" s="61">
        <v>122</v>
      </c>
      <c r="K43" s="63">
        <v>1.386</v>
      </c>
      <c r="L43" s="61">
        <v>38</v>
      </c>
    </row>
    <row r="44" spans="1:12" ht="12.75">
      <c r="A44" s="165" t="s">
        <v>289</v>
      </c>
      <c r="B44" s="23">
        <v>180123</v>
      </c>
      <c r="C44" s="23">
        <v>180123</v>
      </c>
      <c r="D44" s="23">
        <v>114750</v>
      </c>
      <c r="E44" s="206">
        <v>0.637</v>
      </c>
      <c r="F44" s="207">
        <v>20000</v>
      </c>
      <c r="G44" s="165" t="s">
        <v>289</v>
      </c>
      <c r="H44" s="184">
        <v>180</v>
      </c>
      <c r="I44" s="184">
        <v>180</v>
      </c>
      <c r="J44" s="184">
        <v>115</v>
      </c>
      <c r="K44" s="63">
        <v>0.639</v>
      </c>
      <c r="L44" s="184">
        <v>20</v>
      </c>
    </row>
    <row r="45" spans="1:12" ht="12.75">
      <c r="A45" s="165" t="s">
        <v>281</v>
      </c>
      <c r="B45" s="214">
        <v>180123</v>
      </c>
      <c r="C45" s="214">
        <v>180123</v>
      </c>
      <c r="D45" s="214">
        <v>114750</v>
      </c>
      <c r="E45" s="206">
        <v>0.637</v>
      </c>
      <c r="F45" s="207">
        <v>20000</v>
      </c>
      <c r="G45" s="165" t="s">
        <v>281</v>
      </c>
      <c r="H45" s="61">
        <v>180</v>
      </c>
      <c r="I45" s="61">
        <v>180</v>
      </c>
      <c r="J45" s="61">
        <v>115</v>
      </c>
      <c r="K45" s="63">
        <v>0.639</v>
      </c>
      <c r="L45" s="61">
        <v>20</v>
      </c>
    </row>
    <row r="46" spans="1:12" ht="26.25" customHeight="1">
      <c r="A46" s="213" t="s">
        <v>298</v>
      </c>
      <c r="B46" s="21"/>
      <c r="C46" s="23"/>
      <c r="D46" s="21"/>
      <c r="E46" s="206" t="s">
        <v>63</v>
      </c>
      <c r="F46" s="215"/>
      <c r="G46" s="213" t="s">
        <v>298</v>
      </c>
      <c r="H46" s="173"/>
      <c r="I46" s="173"/>
      <c r="J46" s="173"/>
      <c r="K46" s="63"/>
      <c r="L46" s="173"/>
    </row>
    <row r="47" spans="1:12" ht="12.75">
      <c r="A47" s="165" t="s">
        <v>288</v>
      </c>
      <c r="B47" s="23">
        <v>1300000</v>
      </c>
      <c r="C47" s="23">
        <v>1300000</v>
      </c>
      <c r="D47" s="23">
        <v>1269104</v>
      </c>
      <c r="E47" s="206">
        <v>0.976</v>
      </c>
      <c r="F47" s="207">
        <v>206700</v>
      </c>
      <c r="G47" s="165" t="s">
        <v>288</v>
      </c>
      <c r="H47" s="184">
        <v>1300</v>
      </c>
      <c r="I47" s="61">
        <v>1300</v>
      </c>
      <c r="J47" s="184">
        <v>1269</v>
      </c>
      <c r="K47" s="63">
        <v>0.976</v>
      </c>
      <c r="L47" s="184">
        <v>207</v>
      </c>
    </row>
    <row r="48" spans="1:12" ht="25.5" customHeight="1">
      <c r="A48" s="145" t="s">
        <v>299</v>
      </c>
      <c r="B48" s="27">
        <v>500000</v>
      </c>
      <c r="C48" s="27"/>
      <c r="D48" s="27">
        <v>500000</v>
      </c>
      <c r="E48" s="206">
        <v>1</v>
      </c>
      <c r="F48" s="207">
        <v>0</v>
      </c>
      <c r="G48" s="145" t="s">
        <v>299</v>
      </c>
      <c r="H48" s="61">
        <v>500</v>
      </c>
      <c r="I48" s="61">
        <v>0</v>
      </c>
      <c r="J48" s="61">
        <v>500</v>
      </c>
      <c r="K48" s="63">
        <v>1</v>
      </c>
      <c r="L48" s="61">
        <v>0</v>
      </c>
    </row>
    <row r="49" spans="1:12" ht="12.75">
      <c r="A49" s="216" t="s">
        <v>300</v>
      </c>
      <c r="B49" s="27">
        <v>800000</v>
      </c>
      <c r="C49" s="27"/>
      <c r="D49" s="27">
        <v>769104</v>
      </c>
      <c r="E49" s="206">
        <v>0.961</v>
      </c>
      <c r="F49" s="207">
        <v>206700</v>
      </c>
      <c r="G49" s="216" t="s">
        <v>300</v>
      </c>
      <c r="H49" s="61">
        <v>800</v>
      </c>
      <c r="I49" s="61">
        <v>0</v>
      </c>
      <c r="J49" s="61">
        <v>769</v>
      </c>
      <c r="K49" s="63">
        <v>0.961</v>
      </c>
      <c r="L49" s="61">
        <v>207</v>
      </c>
    </row>
    <row r="50" spans="1:12" ht="12.75">
      <c r="A50" s="165" t="s">
        <v>289</v>
      </c>
      <c r="B50" s="23">
        <v>79595</v>
      </c>
      <c r="C50" s="23">
        <v>75920</v>
      </c>
      <c r="D50" s="23">
        <v>55048</v>
      </c>
      <c r="E50" s="206">
        <v>0.692</v>
      </c>
      <c r="F50" s="207">
        <v>3281</v>
      </c>
      <c r="G50" s="165" t="s">
        <v>289</v>
      </c>
      <c r="H50" s="184">
        <v>80</v>
      </c>
      <c r="I50" s="184">
        <v>76</v>
      </c>
      <c r="J50" s="184">
        <v>55</v>
      </c>
      <c r="K50" s="63">
        <v>0.688</v>
      </c>
      <c r="L50" s="184">
        <v>5</v>
      </c>
    </row>
    <row r="51" spans="1:12" ht="12.75">
      <c r="A51" s="165" t="s">
        <v>281</v>
      </c>
      <c r="B51" s="214">
        <v>67595</v>
      </c>
      <c r="C51" s="214">
        <v>63920</v>
      </c>
      <c r="D51" s="214">
        <v>48687</v>
      </c>
      <c r="E51" s="206">
        <v>0.72</v>
      </c>
      <c r="F51" s="207">
        <v>3281</v>
      </c>
      <c r="G51" s="165" t="s">
        <v>281</v>
      </c>
      <c r="H51" s="61">
        <v>68</v>
      </c>
      <c r="I51" s="61">
        <v>64</v>
      </c>
      <c r="J51" s="61">
        <v>49</v>
      </c>
      <c r="K51" s="63">
        <v>0.721</v>
      </c>
      <c r="L51" s="61">
        <v>5</v>
      </c>
    </row>
    <row r="52" spans="1:12" ht="12.75">
      <c r="A52" s="165" t="s">
        <v>282</v>
      </c>
      <c r="B52" s="23">
        <v>12000</v>
      </c>
      <c r="C52" s="23">
        <v>12000</v>
      </c>
      <c r="D52" s="23">
        <v>6361</v>
      </c>
      <c r="E52" s="206">
        <v>0.53</v>
      </c>
      <c r="F52" s="207">
        <v>0</v>
      </c>
      <c r="G52" s="165" t="s">
        <v>282</v>
      </c>
      <c r="H52" s="61">
        <v>12</v>
      </c>
      <c r="I52" s="61">
        <v>12</v>
      </c>
      <c r="J52" s="61">
        <v>6</v>
      </c>
      <c r="K52" s="63">
        <v>0.5</v>
      </c>
      <c r="L52" s="61">
        <v>0</v>
      </c>
    </row>
    <row r="53" spans="1:12" ht="16.5" customHeight="1">
      <c r="A53" s="30" t="s">
        <v>195</v>
      </c>
      <c r="B53" s="6"/>
      <c r="C53" s="6"/>
      <c r="D53" s="6"/>
      <c r="E53" s="206" t="s">
        <v>63</v>
      </c>
      <c r="F53" s="202"/>
      <c r="G53" s="30" t="s">
        <v>195</v>
      </c>
      <c r="H53" s="210"/>
      <c r="I53" s="210"/>
      <c r="J53" s="210"/>
      <c r="K53" s="63"/>
      <c r="L53" s="210"/>
    </row>
    <row r="54" spans="1:12" ht="19.5" customHeight="1">
      <c r="A54" s="211" t="s">
        <v>301</v>
      </c>
      <c r="B54" s="23"/>
      <c r="C54" s="23"/>
      <c r="D54" s="23"/>
      <c r="E54" s="206" t="s">
        <v>63</v>
      </c>
      <c r="F54" s="207"/>
      <c r="G54" s="211" t="s">
        <v>301</v>
      </c>
      <c r="H54" s="184"/>
      <c r="I54" s="184"/>
      <c r="J54" s="184"/>
      <c r="K54" s="63"/>
      <c r="L54" s="184"/>
    </row>
    <row r="55" spans="1:12" ht="12.75">
      <c r="A55" s="165" t="s">
        <v>288</v>
      </c>
      <c r="B55" s="23">
        <v>2032476</v>
      </c>
      <c r="C55" s="23">
        <v>1455999</v>
      </c>
      <c r="D55" s="23">
        <v>1528037</v>
      </c>
      <c r="E55" s="206">
        <v>0.752</v>
      </c>
      <c r="F55" s="207">
        <v>331904</v>
      </c>
      <c r="G55" s="165" t="s">
        <v>288</v>
      </c>
      <c r="H55" s="184">
        <v>2032</v>
      </c>
      <c r="I55" s="61">
        <v>1456</v>
      </c>
      <c r="J55" s="184">
        <v>1528</v>
      </c>
      <c r="K55" s="63">
        <v>0.752</v>
      </c>
      <c r="L55" s="184">
        <v>332</v>
      </c>
    </row>
    <row r="56" spans="1:12" ht="22.5">
      <c r="A56" s="115" t="s">
        <v>302</v>
      </c>
      <c r="B56" s="23">
        <v>2032476</v>
      </c>
      <c r="C56" s="23"/>
      <c r="D56" s="23">
        <v>1528037</v>
      </c>
      <c r="E56" s="206">
        <v>0.752</v>
      </c>
      <c r="F56" s="207">
        <v>331904</v>
      </c>
      <c r="G56" s="115" t="s">
        <v>302</v>
      </c>
      <c r="H56" s="61">
        <v>2032</v>
      </c>
      <c r="I56" s="61">
        <v>0</v>
      </c>
      <c r="J56" s="61">
        <v>1528</v>
      </c>
      <c r="K56" s="63">
        <v>0.752</v>
      </c>
      <c r="L56" s="61">
        <v>332</v>
      </c>
    </row>
    <row r="57" spans="1:12" ht="12.75">
      <c r="A57" s="165" t="s">
        <v>289</v>
      </c>
      <c r="B57" s="23">
        <v>2032476</v>
      </c>
      <c r="C57" s="23">
        <v>1455999</v>
      </c>
      <c r="D57" s="23">
        <v>1449115</v>
      </c>
      <c r="E57" s="206">
        <v>0.713</v>
      </c>
      <c r="F57" s="207">
        <v>162456</v>
      </c>
      <c r="G57" s="165" t="s">
        <v>289</v>
      </c>
      <c r="H57" s="184">
        <v>2032</v>
      </c>
      <c r="I57" s="184">
        <v>1456</v>
      </c>
      <c r="J57" s="184">
        <v>1449</v>
      </c>
      <c r="K57" s="63">
        <v>0.713</v>
      </c>
      <c r="L57" s="184">
        <v>163</v>
      </c>
    </row>
    <row r="58" spans="1:12" ht="12.75">
      <c r="A58" s="165" t="s">
        <v>281</v>
      </c>
      <c r="B58" s="23">
        <v>1391476</v>
      </c>
      <c r="C58" s="23">
        <v>814999</v>
      </c>
      <c r="D58" s="23">
        <v>812115</v>
      </c>
      <c r="E58" s="206">
        <v>0.584</v>
      </c>
      <c r="F58" s="207">
        <v>160456</v>
      </c>
      <c r="G58" s="165" t="s">
        <v>281</v>
      </c>
      <c r="H58" s="61">
        <v>1391</v>
      </c>
      <c r="I58" s="61">
        <v>815</v>
      </c>
      <c r="J58" s="61">
        <v>812</v>
      </c>
      <c r="K58" s="63">
        <v>0.584</v>
      </c>
      <c r="L58" s="61">
        <v>161</v>
      </c>
    </row>
    <row r="59" spans="1:12" ht="12.75">
      <c r="A59" s="165" t="s">
        <v>282</v>
      </c>
      <c r="B59" s="23">
        <v>641000</v>
      </c>
      <c r="C59" s="23">
        <v>641000</v>
      </c>
      <c r="D59" s="23">
        <v>637000</v>
      </c>
      <c r="E59" s="206">
        <v>0.994</v>
      </c>
      <c r="F59" s="207">
        <v>2000</v>
      </c>
      <c r="G59" s="165" t="s">
        <v>282</v>
      </c>
      <c r="H59" s="61">
        <v>641</v>
      </c>
      <c r="I59" s="61">
        <v>641</v>
      </c>
      <c r="J59" s="61">
        <v>637</v>
      </c>
      <c r="K59" s="63">
        <v>0.994</v>
      </c>
      <c r="L59" s="61">
        <v>2</v>
      </c>
    </row>
    <row r="60" spans="1:12" ht="16.5" customHeight="1">
      <c r="A60" s="213" t="s">
        <v>303</v>
      </c>
      <c r="B60" s="23"/>
      <c r="C60" s="23"/>
      <c r="D60" s="23"/>
      <c r="E60" s="206" t="s">
        <v>63</v>
      </c>
      <c r="F60" s="207"/>
      <c r="G60" s="213" t="s">
        <v>303</v>
      </c>
      <c r="H60" s="184"/>
      <c r="I60" s="184"/>
      <c r="J60" s="184"/>
      <c r="K60" s="63"/>
      <c r="L60" s="184"/>
    </row>
    <row r="61" spans="1:12" ht="12.75">
      <c r="A61" s="165" t="s">
        <v>288</v>
      </c>
      <c r="B61" s="23">
        <v>257230</v>
      </c>
      <c r="C61" s="23">
        <v>216438</v>
      </c>
      <c r="D61" s="23">
        <v>216438</v>
      </c>
      <c r="E61" s="206">
        <v>0.841</v>
      </c>
      <c r="F61" s="207">
        <v>40507</v>
      </c>
      <c r="G61" s="165" t="s">
        <v>288</v>
      </c>
      <c r="H61" s="184">
        <v>257</v>
      </c>
      <c r="I61" s="61">
        <v>216</v>
      </c>
      <c r="J61" s="184">
        <v>216</v>
      </c>
      <c r="K61" s="63">
        <v>0.84</v>
      </c>
      <c r="L61" s="184">
        <v>40</v>
      </c>
    </row>
    <row r="62" spans="1:12" ht="12.75">
      <c r="A62" s="115" t="s">
        <v>304</v>
      </c>
      <c r="B62" s="23">
        <v>257230</v>
      </c>
      <c r="C62" s="23"/>
      <c r="D62" s="23">
        <v>216438</v>
      </c>
      <c r="E62" s="206">
        <v>0.841</v>
      </c>
      <c r="F62" s="207">
        <v>40507</v>
      </c>
      <c r="G62" s="115" t="s">
        <v>304</v>
      </c>
      <c r="H62" s="61">
        <v>257</v>
      </c>
      <c r="I62" s="61">
        <v>0</v>
      </c>
      <c r="J62" s="61">
        <v>216</v>
      </c>
      <c r="K62" s="63">
        <v>0.84</v>
      </c>
      <c r="L62" s="61">
        <v>40</v>
      </c>
    </row>
    <row r="63" spans="1:12" ht="12.75">
      <c r="A63" s="165" t="s">
        <v>289</v>
      </c>
      <c r="B63" s="23">
        <v>262480</v>
      </c>
      <c r="C63" s="23">
        <v>219062</v>
      </c>
      <c r="D63" s="23">
        <v>86013</v>
      </c>
      <c r="E63" s="206">
        <v>0.328</v>
      </c>
      <c r="F63" s="207">
        <v>54875</v>
      </c>
      <c r="G63" s="165" t="s">
        <v>289</v>
      </c>
      <c r="H63" s="184">
        <v>262</v>
      </c>
      <c r="I63" s="184">
        <v>219</v>
      </c>
      <c r="J63" s="184">
        <v>86</v>
      </c>
      <c r="K63" s="63">
        <v>0.328</v>
      </c>
      <c r="L63" s="184">
        <v>55</v>
      </c>
    </row>
    <row r="64" spans="1:12" ht="12.75">
      <c r="A64" s="165" t="s">
        <v>281</v>
      </c>
      <c r="B64" s="23">
        <v>260480</v>
      </c>
      <c r="C64" s="23">
        <v>217062</v>
      </c>
      <c r="D64" s="23">
        <v>84680</v>
      </c>
      <c r="E64" s="206">
        <v>0.325</v>
      </c>
      <c r="F64" s="207">
        <v>53542</v>
      </c>
      <c r="G64" s="165" t="s">
        <v>281</v>
      </c>
      <c r="H64" s="61">
        <v>260</v>
      </c>
      <c r="I64" s="61">
        <v>217</v>
      </c>
      <c r="J64" s="61">
        <v>85</v>
      </c>
      <c r="K64" s="63">
        <v>0.327</v>
      </c>
      <c r="L64" s="61">
        <v>54</v>
      </c>
    </row>
    <row r="65" spans="1:12" ht="12.75">
      <c r="A65" s="165" t="s">
        <v>282</v>
      </c>
      <c r="B65" s="23">
        <v>2000</v>
      </c>
      <c r="C65" s="23">
        <v>2000</v>
      </c>
      <c r="D65" s="23">
        <v>1333</v>
      </c>
      <c r="E65" s="206">
        <v>0.667</v>
      </c>
      <c r="F65" s="207">
        <v>1333</v>
      </c>
      <c r="G65" s="165" t="s">
        <v>282</v>
      </c>
      <c r="H65" s="61">
        <v>2</v>
      </c>
      <c r="I65" s="61">
        <v>2</v>
      </c>
      <c r="J65" s="61">
        <v>1</v>
      </c>
      <c r="K65" s="63">
        <v>0.5</v>
      </c>
      <c r="L65" s="61">
        <v>1</v>
      </c>
    </row>
    <row r="66" spans="1:12" ht="12.75">
      <c r="A66" s="165" t="s">
        <v>283</v>
      </c>
      <c r="B66" s="23">
        <v>3756000</v>
      </c>
      <c r="C66" s="23"/>
      <c r="D66" s="23">
        <v>2086369</v>
      </c>
      <c r="E66" s="206">
        <v>0.555</v>
      </c>
      <c r="F66" s="207">
        <v>370336</v>
      </c>
      <c r="G66" s="165" t="s">
        <v>283</v>
      </c>
      <c r="H66" s="61">
        <v>3756</v>
      </c>
      <c r="I66" s="61">
        <v>0</v>
      </c>
      <c r="J66" s="61">
        <v>2086</v>
      </c>
      <c r="K66" s="63">
        <v>0.555</v>
      </c>
      <c r="L66" s="61">
        <v>370</v>
      </c>
    </row>
    <row r="67" spans="1:12" ht="12.75">
      <c r="A67" s="165" t="s">
        <v>284</v>
      </c>
      <c r="B67" s="23">
        <v>5250</v>
      </c>
      <c r="C67" s="23"/>
      <c r="D67" s="23">
        <v>14831</v>
      </c>
      <c r="E67" s="206">
        <v>2.825</v>
      </c>
      <c r="F67" s="207">
        <v>3544</v>
      </c>
      <c r="G67" s="165" t="s">
        <v>284</v>
      </c>
      <c r="H67" s="61">
        <v>5</v>
      </c>
      <c r="I67" s="61">
        <v>0</v>
      </c>
      <c r="J67" s="61">
        <v>15</v>
      </c>
      <c r="K67" s="63">
        <v>3</v>
      </c>
      <c r="L67" s="61">
        <v>4</v>
      </c>
    </row>
    <row r="68" spans="1:12" ht="12.75">
      <c r="A68" s="165" t="s">
        <v>285</v>
      </c>
      <c r="B68" s="23">
        <v>-3756000</v>
      </c>
      <c r="C68" s="23">
        <v>-2624</v>
      </c>
      <c r="D68" s="23">
        <v>-1941113</v>
      </c>
      <c r="E68" s="206">
        <v>0.517</v>
      </c>
      <c r="F68" s="207">
        <v>-381160</v>
      </c>
      <c r="G68" s="165" t="s">
        <v>285</v>
      </c>
      <c r="H68" s="61">
        <v>-3756</v>
      </c>
      <c r="I68" s="61">
        <v>-3</v>
      </c>
      <c r="J68" s="61">
        <v>-1941</v>
      </c>
      <c r="K68" s="63">
        <v>0.517</v>
      </c>
      <c r="L68" s="61">
        <v>-381</v>
      </c>
    </row>
    <row r="69" spans="1:12" ht="12.75">
      <c r="A69" s="165" t="s">
        <v>286</v>
      </c>
      <c r="B69" s="23">
        <v>3756000</v>
      </c>
      <c r="C69" s="23"/>
      <c r="D69" s="23">
        <v>2086369</v>
      </c>
      <c r="E69" s="206">
        <v>0.555</v>
      </c>
      <c r="F69" s="207">
        <v>380336</v>
      </c>
      <c r="G69" s="165" t="s">
        <v>286</v>
      </c>
      <c r="H69" s="61">
        <v>3756</v>
      </c>
      <c r="I69" s="61">
        <v>0</v>
      </c>
      <c r="J69" s="61">
        <v>2086</v>
      </c>
      <c r="K69" s="63">
        <v>0.555</v>
      </c>
      <c r="L69" s="61">
        <v>380</v>
      </c>
    </row>
    <row r="70" spans="1:12" ht="15.75" customHeight="1">
      <c r="A70" s="74" t="s">
        <v>196</v>
      </c>
      <c r="B70" s="6"/>
      <c r="C70" s="6"/>
      <c r="D70" s="6"/>
      <c r="E70" s="206" t="s">
        <v>63</v>
      </c>
      <c r="F70" s="202"/>
      <c r="G70" s="74" t="s">
        <v>196</v>
      </c>
      <c r="H70" s="210"/>
      <c r="I70" s="210"/>
      <c r="J70" s="210"/>
      <c r="K70" s="63"/>
      <c r="L70" s="210"/>
    </row>
    <row r="71" spans="1:12" ht="16.5" customHeight="1">
      <c r="A71" s="211" t="s">
        <v>305</v>
      </c>
      <c r="B71" s="23"/>
      <c r="C71" s="23"/>
      <c r="D71" s="23"/>
      <c r="E71" s="206" t="s">
        <v>63</v>
      </c>
      <c r="F71" s="207"/>
      <c r="G71" s="211" t="s">
        <v>305</v>
      </c>
      <c r="H71" s="184"/>
      <c r="I71" s="184"/>
      <c r="J71" s="184"/>
      <c r="K71" s="63"/>
      <c r="L71" s="184"/>
    </row>
    <row r="72" spans="1:12" ht="12.75">
      <c r="A72" s="165" t="s">
        <v>288</v>
      </c>
      <c r="B72" s="23">
        <v>784500</v>
      </c>
      <c r="C72" s="23">
        <v>667000</v>
      </c>
      <c r="D72" s="23">
        <v>485720</v>
      </c>
      <c r="E72" s="206">
        <v>0.619</v>
      </c>
      <c r="F72" s="207">
        <v>19058</v>
      </c>
      <c r="G72" s="165" t="s">
        <v>288</v>
      </c>
      <c r="H72" s="184">
        <v>785</v>
      </c>
      <c r="I72" s="61">
        <v>667</v>
      </c>
      <c r="J72" s="184">
        <v>486</v>
      </c>
      <c r="K72" s="63">
        <v>0.619</v>
      </c>
      <c r="L72" s="184">
        <v>20</v>
      </c>
    </row>
    <row r="73" spans="1:12" ht="27.75" customHeight="1">
      <c r="A73" s="115" t="s">
        <v>306</v>
      </c>
      <c r="B73" s="23">
        <v>510000</v>
      </c>
      <c r="C73" s="23"/>
      <c r="D73" s="23">
        <v>260790</v>
      </c>
      <c r="E73" s="206">
        <v>0.511</v>
      </c>
      <c r="F73" s="207">
        <v>30627</v>
      </c>
      <c r="G73" s="115" t="s">
        <v>306</v>
      </c>
      <c r="H73" s="61">
        <v>510</v>
      </c>
      <c r="I73" s="61">
        <v>0</v>
      </c>
      <c r="J73" s="61">
        <v>261</v>
      </c>
      <c r="K73" s="63">
        <v>0.512</v>
      </c>
      <c r="L73" s="61">
        <v>31</v>
      </c>
    </row>
    <row r="74" spans="1:12" ht="12.75">
      <c r="A74" s="165" t="s">
        <v>307</v>
      </c>
      <c r="B74" s="23">
        <v>274500</v>
      </c>
      <c r="C74" s="23"/>
      <c r="D74" s="23">
        <v>224930</v>
      </c>
      <c r="E74" s="206">
        <v>0.819</v>
      </c>
      <c r="F74" s="207">
        <v>-11569</v>
      </c>
      <c r="G74" s="115" t="s">
        <v>294</v>
      </c>
      <c r="H74" s="61">
        <v>275</v>
      </c>
      <c r="I74" s="61">
        <v>0</v>
      </c>
      <c r="J74" s="61">
        <v>225</v>
      </c>
      <c r="K74" s="63">
        <v>0.818</v>
      </c>
      <c r="L74" s="61">
        <v>-11</v>
      </c>
    </row>
    <row r="75" spans="1:12" ht="12.75">
      <c r="A75" s="165" t="s">
        <v>289</v>
      </c>
      <c r="B75" s="23">
        <v>784500</v>
      </c>
      <c r="C75" s="23">
        <v>667000</v>
      </c>
      <c r="D75" s="23">
        <v>560696</v>
      </c>
      <c r="E75" s="206">
        <v>0.715</v>
      </c>
      <c r="F75" s="207">
        <v>47580</v>
      </c>
      <c r="G75" s="165" t="s">
        <v>289</v>
      </c>
      <c r="H75" s="184">
        <v>785</v>
      </c>
      <c r="I75" s="184">
        <v>667</v>
      </c>
      <c r="J75" s="184">
        <v>561</v>
      </c>
      <c r="K75" s="63">
        <v>0.715</v>
      </c>
      <c r="L75" s="184">
        <v>48</v>
      </c>
    </row>
    <row r="76" spans="1:12" ht="12.75">
      <c r="A76" s="165" t="s">
        <v>281</v>
      </c>
      <c r="B76" s="23">
        <v>700577</v>
      </c>
      <c r="C76" s="23">
        <v>588300</v>
      </c>
      <c r="D76" s="23">
        <v>482185</v>
      </c>
      <c r="E76" s="206">
        <v>0.688</v>
      </c>
      <c r="F76" s="207">
        <v>41061</v>
      </c>
      <c r="G76" s="165" t="s">
        <v>281</v>
      </c>
      <c r="H76" s="61">
        <v>701</v>
      </c>
      <c r="I76" s="61">
        <v>588</v>
      </c>
      <c r="J76" s="61">
        <v>482</v>
      </c>
      <c r="K76" s="63">
        <v>0.688</v>
      </c>
      <c r="L76" s="61">
        <v>41</v>
      </c>
    </row>
    <row r="77" spans="1:12" ht="12.75">
      <c r="A77" s="165" t="s">
        <v>282</v>
      </c>
      <c r="B77" s="23">
        <v>83923</v>
      </c>
      <c r="C77" s="23">
        <v>78700</v>
      </c>
      <c r="D77" s="23">
        <v>78511</v>
      </c>
      <c r="E77" s="206">
        <v>0.936</v>
      </c>
      <c r="F77" s="207">
        <v>6519</v>
      </c>
      <c r="G77" s="165" t="s">
        <v>282</v>
      </c>
      <c r="H77" s="61">
        <v>84</v>
      </c>
      <c r="I77" s="61">
        <v>79</v>
      </c>
      <c r="J77" s="61">
        <v>79</v>
      </c>
      <c r="K77" s="63">
        <v>0.94</v>
      </c>
      <c r="L77" s="61">
        <v>7</v>
      </c>
    </row>
    <row r="78" spans="1:12" ht="15.75" customHeight="1">
      <c r="A78" s="211" t="s">
        <v>308</v>
      </c>
      <c r="B78" s="23"/>
      <c r="C78" s="23"/>
      <c r="D78" s="23"/>
      <c r="E78" s="206" t="s">
        <v>63</v>
      </c>
      <c r="F78" s="207"/>
      <c r="G78" s="211" t="s">
        <v>308</v>
      </c>
      <c r="H78" s="184"/>
      <c r="I78" s="184"/>
      <c r="J78" s="184"/>
      <c r="K78" s="63"/>
      <c r="L78" s="184"/>
    </row>
    <row r="79" spans="1:12" ht="12.75">
      <c r="A79" s="165" t="s">
        <v>288</v>
      </c>
      <c r="B79" s="23">
        <v>24000000</v>
      </c>
      <c r="C79" s="23">
        <v>22386122</v>
      </c>
      <c r="D79" s="23">
        <v>15667817</v>
      </c>
      <c r="E79" s="206">
        <v>0.653</v>
      </c>
      <c r="F79" s="207">
        <v>2111696</v>
      </c>
      <c r="G79" s="165" t="s">
        <v>288</v>
      </c>
      <c r="H79" s="184">
        <v>24000</v>
      </c>
      <c r="I79" s="61">
        <v>22386</v>
      </c>
      <c r="J79" s="184">
        <v>15668</v>
      </c>
      <c r="K79" s="63">
        <v>0.653</v>
      </c>
      <c r="L79" s="184">
        <v>2113</v>
      </c>
    </row>
    <row r="80" spans="1:12" ht="12.75">
      <c r="A80" s="115" t="s">
        <v>309</v>
      </c>
      <c r="B80" s="23">
        <v>18919004</v>
      </c>
      <c r="C80" s="23"/>
      <c r="D80" s="23">
        <v>14300169</v>
      </c>
      <c r="E80" s="206">
        <v>0.756</v>
      </c>
      <c r="F80" s="207">
        <v>1966803</v>
      </c>
      <c r="G80" s="115" t="s">
        <v>309</v>
      </c>
      <c r="H80" s="61">
        <v>18919</v>
      </c>
      <c r="I80" s="61">
        <v>0</v>
      </c>
      <c r="J80" s="61">
        <v>14300</v>
      </c>
      <c r="K80" s="63">
        <v>0.756</v>
      </c>
      <c r="L80" s="61">
        <v>1967</v>
      </c>
    </row>
    <row r="81" spans="1:12" ht="12.75">
      <c r="A81" s="165" t="s">
        <v>229</v>
      </c>
      <c r="B81" s="23">
        <v>5080996</v>
      </c>
      <c r="C81" s="23"/>
      <c r="D81" s="23">
        <v>1367648</v>
      </c>
      <c r="E81" s="206">
        <v>0.269</v>
      </c>
      <c r="F81" s="207">
        <v>144893</v>
      </c>
      <c r="G81" s="165" t="s">
        <v>229</v>
      </c>
      <c r="H81" s="61">
        <v>5081</v>
      </c>
      <c r="I81" s="61">
        <v>0</v>
      </c>
      <c r="J81" s="61">
        <v>1368</v>
      </c>
      <c r="K81" s="63">
        <v>0.269</v>
      </c>
      <c r="L81" s="61">
        <v>146</v>
      </c>
    </row>
    <row r="82" spans="1:12" ht="12.75">
      <c r="A82" s="165" t="s">
        <v>289</v>
      </c>
      <c r="B82" s="23">
        <v>23000000</v>
      </c>
      <c r="C82" s="23">
        <v>21386122</v>
      </c>
      <c r="D82" s="23">
        <v>16568259</v>
      </c>
      <c r="E82" s="206">
        <v>0.72</v>
      </c>
      <c r="F82" s="207">
        <v>1698154</v>
      </c>
      <c r="G82" s="165" t="s">
        <v>289</v>
      </c>
      <c r="H82" s="184">
        <v>23000</v>
      </c>
      <c r="I82" s="184">
        <v>21386</v>
      </c>
      <c r="J82" s="184">
        <v>16569</v>
      </c>
      <c r="K82" s="63">
        <v>0.72</v>
      </c>
      <c r="L82" s="184">
        <v>1699</v>
      </c>
    </row>
    <row r="83" spans="1:12" ht="12.75">
      <c r="A83" s="165" t="s">
        <v>281</v>
      </c>
      <c r="B83" s="23">
        <v>21037468</v>
      </c>
      <c r="C83" s="23">
        <v>19404244</v>
      </c>
      <c r="D83" s="23">
        <v>15216636</v>
      </c>
      <c r="E83" s="206">
        <v>0.723</v>
      </c>
      <c r="F83" s="207">
        <v>1614787</v>
      </c>
      <c r="G83" s="165" t="s">
        <v>281</v>
      </c>
      <c r="H83" s="61">
        <v>21037</v>
      </c>
      <c r="I83" s="61">
        <v>19404</v>
      </c>
      <c r="J83" s="61">
        <v>15217</v>
      </c>
      <c r="K83" s="63">
        <v>0.723</v>
      </c>
      <c r="L83" s="61">
        <v>1615</v>
      </c>
    </row>
    <row r="84" spans="1:12" ht="12.75">
      <c r="A84" s="165" t="s">
        <v>282</v>
      </c>
      <c r="B84" s="23">
        <v>1962532</v>
      </c>
      <c r="C84" s="23">
        <v>1981878</v>
      </c>
      <c r="D84" s="23">
        <v>1351623</v>
      </c>
      <c r="E84" s="206">
        <v>0.689</v>
      </c>
      <c r="F84" s="207">
        <v>83367</v>
      </c>
      <c r="G84" s="165" t="s">
        <v>282</v>
      </c>
      <c r="H84" s="61">
        <v>1963</v>
      </c>
      <c r="I84" s="61">
        <v>1982</v>
      </c>
      <c r="J84" s="61">
        <v>1352</v>
      </c>
      <c r="K84" s="63">
        <v>0.689</v>
      </c>
      <c r="L84" s="61">
        <v>84</v>
      </c>
    </row>
    <row r="85" spans="1:12" ht="18" customHeight="1">
      <c r="A85" s="30" t="s">
        <v>197</v>
      </c>
      <c r="B85" s="6"/>
      <c r="C85" s="6"/>
      <c r="D85" s="6"/>
      <c r="E85" s="206" t="s">
        <v>63</v>
      </c>
      <c r="F85" s="202"/>
      <c r="G85" s="30" t="s">
        <v>197</v>
      </c>
      <c r="H85" s="61"/>
      <c r="I85" s="61"/>
      <c r="J85" s="61"/>
      <c r="K85" s="63"/>
      <c r="L85" s="61"/>
    </row>
    <row r="86" spans="1:12" ht="21" customHeight="1">
      <c r="A86" s="211" t="s">
        <v>310</v>
      </c>
      <c r="B86" s="23"/>
      <c r="C86" s="23"/>
      <c r="D86" s="23"/>
      <c r="E86" s="206" t="s">
        <v>63</v>
      </c>
      <c r="F86" s="207"/>
      <c r="G86" s="211" t="s">
        <v>310</v>
      </c>
      <c r="H86" s="184"/>
      <c r="I86" s="184"/>
      <c r="J86" s="184"/>
      <c r="K86" s="63"/>
      <c r="L86" s="184"/>
    </row>
    <row r="87" spans="1:12" ht="12.75">
      <c r="A87" s="165" t="s">
        <v>288</v>
      </c>
      <c r="B87" s="23">
        <v>61798609</v>
      </c>
      <c r="C87" s="23">
        <v>55514269</v>
      </c>
      <c r="D87" s="23">
        <v>47195822</v>
      </c>
      <c r="E87" s="206">
        <v>0.764</v>
      </c>
      <c r="F87" s="207">
        <v>4826986</v>
      </c>
      <c r="G87" s="165" t="s">
        <v>288</v>
      </c>
      <c r="H87" s="184">
        <v>61799</v>
      </c>
      <c r="I87" s="61">
        <v>55514</v>
      </c>
      <c r="J87" s="184">
        <v>47196</v>
      </c>
      <c r="K87" s="63">
        <v>0.764</v>
      </c>
      <c r="L87" s="184">
        <v>4827</v>
      </c>
    </row>
    <row r="88" spans="1:12" ht="12.75">
      <c r="A88" s="165" t="s">
        <v>311</v>
      </c>
      <c r="B88" s="23">
        <v>7800000</v>
      </c>
      <c r="C88" s="23"/>
      <c r="D88" s="23">
        <v>7177422</v>
      </c>
      <c r="E88" s="206">
        <v>0.92</v>
      </c>
      <c r="F88" s="207">
        <v>537764</v>
      </c>
      <c r="G88" s="165" t="s">
        <v>311</v>
      </c>
      <c r="H88" s="61">
        <v>7800</v>
      </c>
      <c r="I88" s="61">
        <v>0</v>
      </c>
      <c r="J88" s="61">
        <v>7177</v>
      </c>
      <c r="K88" s="63">
        <v>0.92</v>
      </c>
      <c r="L88" s="61">
        <v>537</v>
      </c>
    </row>
    <row r="89" spans="1:12" ht="12.75">
      <c r="A89" s="165" t="s">
        <v>312</v>
      </c>
      <c r="B89" s="23">
        <v>53948609</v>
      </c>
      <c r="C89" s="23"/>
      <c r="D89" s="23">
        <v>39994812</v>
      </c>
      <c r="E89" s="206">
        <v>0.741</v>
      </c>
      <c r="F89" s="207">
        <v>4286892</v>
      </c>
      <c r="G89" s="165" t="s">
        <v>312</v>
      </c>
      <c r="H89" s="61">
        <v>53949</v>
      </c>
      <c r="I89" s="61">
        <v>0</v>
      </c>
      <c r="J89" s="61">
        <v>39995</v>
      </c>
      <c r="K89" s="63">
        <v>0.741</v>
      </c>
      <c r="L89" s="61">
        <v>4287</v>
      </c>
    </row>
    <row r="90" spans="1:12" ht="12.75">
      <c r="A90" s="165" t="s">
        <v>229</v>
      </c>
      <c r="B90" s="23">
        <v>50000</v>
      </c>
      <c r="C90" s="23"/>
      <c r="D90" s="23">
        <v>23588</v>
      </c>
      <c r="E90" s="206">
        <v>0.472</v>
      </c>
      <c r="F90" s="207">
        <v>2330</v>
      </c>
      <c r="G90" s="165" t="s">
        <v>229</v>
      </c>
      <c r="H90" s="61">
        <v>50</v>
      </c>
      <c r="I90" s="61">
        <v>0</v>
      </c>
      <c r="J90" s="61">
        <v>24</v>
      </c>
      <c r="K90" s="63">
        <v>0.48</v>
      </c>
      <c r="L90" s="61">
        <v>3</v>
      </c>
    </row>
    <row r="91" spans="1:12" ht="12.75">
      <c r="A91" s="165" t="s">
        <v>289</v>
      </c>
      <c r="B91" s="23">
        <v>81512640</v>
      </c>
      <c r="C91" s="23">
        <v>77067443</v>
      </c>
      <c r="D91" s="23">
        <v>68963322</v>
      </c>
      <c r="E91" s="206">
        <v>0.846</v>
      </c>
      <c r="F91" s="207">
        <v>5816522</v>
      </c>
      <c r="G91" s="165" t="s">
        <v>289</v>
      </c>
      <c r="H91" s="184">
        <v>81513</v>
      </c>
      <c r="I91" s="184">
        <v>77068</v>
      </c>
      <c r="J91" s="184">
        <v>68963</v>
      </c>
      <c r="K91" s="63">
        <v>0.846</v>
      </c>
      <c r="L91" s="184">
        <v>5816</v>
      </c>
    </row>
    <row r="92" spans="1:12" ht="12.75">
      <c r="A92" s="165" t="s">
        <v>281</v>
      </c>
      <c r="B92" s="23">
        <v>52743056</v>
      </c>
      <c r="C92" s="23">
        <v>48531728</v>
      </c>
      <c r="D92" s="23">
        <v>41921346</v>
      </c>
      <c r="E92" s="206">
        <v>0.795</v>
      </c>
      <c r="F92" s="207">
        <v>3584577</v>
      </c>
      <c r="G92" s="165" t="s">
        <v>281</v>
      </c>
      <c r="H92" s="61">
        <v>52743</v>
      </c>
      <c r="I92" s="61">
        <v>48532</v>
      </c>
      <c r="J92" s="61">
        <v>41921</v>
      </c>
      <c r="K92" s="63">
        <v>0.795</v>
      </c>
      <c r="L92" s="61">
        <v>3584</v>
      </c>
    </row>
    <row r="93" spans="1:12" ht="12.75">
      <c r="A93" s="165" t="s">
        <v>313</v>
      </c>
      <c r="B93" s="23">
        <v>28769584</v>
      </c>
      <c r="C93" s="23">
        <v>28535715</v>
      </c>
      <c r="D93" s="23">
        <v>27041976</v>
      </c>
      <c r="E93" s="206">
        <v>0.94</v>
      </c>
      <c r="F93" s="207">
        <v>2231945</v>
      </c>
      <c r="G93" s="165" t="s">
        <v>313</v>
      </c>
      <c r="H93" s="61">
        <v>28770</v>
      </c>
      <c r="I93" s="61">
        <v>28536</v>
      </c>
      <c r="J93" s="61">
        <v>27042</v>
      </c>
      <c r="K93" s="63">
        <v>0.94</v>
      </c>
      <c r="L93" s="61">
        <v>2232</v>
      </c>
    </row>
    <row r="94" spans="1:12" ht="15.75" customHeight="1">
      <c r="A94" s="165" t="s">
        <v>285</v>
      </c>
      <c r="B94" s="23">
        <v>-19714031</v>
      </c>
      <c r="C94" s="23">
        <v>-21553174</v>
      </c>
      <c r="D94" s="23">
        <v>-21767500</v>
      </c>
      <c r="E94" s="206">
        <v>1.104</v>
      </c>
      <c r="F94" s="207">
        <v>-989536</v>
      </c>
      <c r="G94" s="165" t="s">
        <v>285</v>
      </c>
      <c r="H94" s="184">
        <v>-19714</v>
      </c>
      <c r="I94" s="184">
        <v>-21554</v>
      </c>
      <c r="J94" s="184">
        <v>-21767</v>
      </c>
      <c r="K94" s="63">
        <v>1.104</v>
      </c>
      <c r="L94" s="184">
        <v>-989</v>
      </c>
    </row>
    <row r="95" spans="1:12" ht="15.75" customHeight="1">
      <c r="A95" s="165" t="s">
        <v>286</v>
      </c>
      <c r="B95" s="23">
        <v>15750000</v>
      </c>
      <c r="C95" s="23"/>
      <c r="D95" s="23">
        <v>17508164</v>
      </c>
      <c r="E95" s="206">
        <v>1.112</v>
      </c>
      <c r="F95" s="207">
        <v>958167</v>
      </c>
      <c r="G95" s="165" t="s">
        <v>286</v>
      </c>
      <c r="H95" s="61">
        <v>15750</v>
      </c>
      <c r="I95" s="184">
        <v>21554</v>
      </c>
      <c r="J95" s="61">
        <v>17508</v>
      </c>
      <c r="K95" s="63">
        <v>1.112</v>
      </c>
      <c r="L95" s="61">
        <v>958</v>
      </c>
    </row>
    <row r="96" spans="1:12" ht="16.5" customHeight="1">
      <c r="A96" s="211" t="s">
        <v>314</v>
      </c>
      <c r="B96" s="23"/>
      <c r="C96" s="23"/>
      <c r="D96" s="23"/>
      <c r="E96" s="206" t="s">
        <v>63</v>
      </c>
      <c r="F96" s="207"/>
      <c r="G96" s="211" t="s">
        <v>314</v>
      </c>
      <c r="H96" s="184"/>
      <c r="I96" s="184"/>
      <c r="J96" s="184"/>
      <c r="K96" s="63"/>
      <c r="L96" s="61"/>
    </row>
    <row r="97" spans="1:12" ht="12.75">
      <c r="A97" s="165" t="s">
        <v>288</v>
      </c>
      <c r="B97" s="23">
        <v>21878279</v>
      </c>
      <c r="C97" s="23">
        <v>14218002</v>
      </c>
      <c r="D97" s="23">
        <v>2993544</v>
      </c>
      <c r="E97" s="206">
        <v>0.137</v>
      </c>
      <c r="F97" s="207">
        <v>910427</v>
      </c>
      <c r="G97" s="165" t="s">
        <v>288</v>
      </c>
      <c r="H97" s="184">
        <v>21878</v>
      </c>
      <c r="I97" s="184">
        <v>14218</v>
      </c>
      <c r="J97" s="184">
        <v>2993</v>
      </c>
      <c r="K97" s="63">
        <v>0.137</v>
      </c>
      <c r="L97" s="184">
        <v>910</v>
      </c>
    </row>
    <row r="98" spans="1:12" ht="12.75">
      <c r="A98" s="165" t="s">
        <v>229</v>
      </c>
      <c r="B98" s="23">
        <v>19278279</v>
      </c>
      <c r="C98" s="23">
        <v>12276002</v>
      </c>
      <c r="D98" s="23">
        <v>1854333</v>
      </c>
      <c r="E98" s="206">
        <v>0.096</v>
      </c>
      <c r="F98" s="207">
        <v>546317</v>
      </c>
      <c r="G98" s="165" t="s">
        <v>229</v>
      </c>
      <c r="H98" s="61">
        <v>19278</v>
      </c>
      <c r="I98" s="61">
        <v>12276</v>
      </c>
      <c r="J98" s="61">
        <v>1854</v>
      </c>
      <c r="K98" s="63">
        <v>0.096</v>
      </c>
      <c r="L98" s="61">
        <v>546</v>
      </c>
    </row>
    <row r="99" spans="1:12" ht="12.75">
      <c r="A99" s="165" t="s">
        <v>315</v>
      </c>
      <c r="B99" s="23">
        <v>2600000</v>
      </c>
      <c r="C99" s="23">
        <v>1942000</v>
      </c>
      <c r="D99" s="23">
        <v>1139211</v>
      </c>
      <c r="E99" s="206">
        <v>0.438</v>
      </c>
      <c r="F99" s="207">
        <v>364110</v>
      </c>
      <c r="G99" s="165" t="s">
        <v>315</v>
      </c>
      <c r="H99" s="61">
        <v>2600</v>
      </c>
      <c r="I99" s="61">
        <v>1942</v>
      </c>
      <c r="J99" s="61">
        <v>1139</v>
      </c>
      <c r="K99" s="63">
        <v>0.438</v>
      </c>
      <c r="L99" s="61">
        <v>364</v>
      </c>
    </row>
    <row r="100" spans="1:12" ht="12.75">
      <c r="A100" s="165" t="s">
        <v>289</v>
      </c>
      <c r="B100" s="23">
        <v>21878279</v>
      </c>
      <c r="C100" s="23">
        <v>16160002</v>
      </c>
      <c r="D100" s="23">
        <v>2567907</v>
      </c>
      <c r="E100" s="206">
        <v>0.117</v>
      </c>
      <c r="F100" s="207">
        <v>650164</v>
      </c>
      <c r="G100" s="165" t="s">
        <v>289</v>
      </c>
      <c r="H100" s="184">
        <v>21878</v>
      </c>
      <c r="I100" s="184">
        <v>16160</v>
      </c>
      <c r="J100" s="184">
        <v>2568</v>
      </c>
      <c r="K100" s="63">
        <v>0.117</v>
      </c>
      <c r="L100" s="184">
        <v>651</v>
      </c>
    </row>
    <row r="101" spans="1:12" ht="12.75">
      <c r="A101" s="165" t="s">
        <v>281</v>
      </c>
      <c r="B101" s="23">
        <v>21860229</v>
      </c>
      <c r="C101" s="23">
        <v>16149977</v>
      </c>
      <c r="D101" s="23">
        <v>2560636</v>
      </c>
      <c r="E101" s="206">
        <v>0.117</v>
      </c>
      <c r="F101" s="207">
        <v>647156</v>
      </c>
      <c r="G101" s="165" t="s">
        <v>281</v>
      </c>
      <c r="H101" s="61">
        <v>21860</v>
      </c>
      <c r="I101" s="61">
        <v>16150</v>
      </c>
      <c r="J101" s="61">
        <v>2561</v>
      </c>
      <c r="K101" s="63">
        <v>0.117</v>
      </c>
      <c r="L101" s="61">
        <v>648</v>
      </c>
    </row>
    <row r="102" spans="1:12" ht="12.75">
      <c r="A102" s="165" t="s">
        <v>282</v>
      </c>
      <c r="B102" s="23">
        <v>18050</v>
      </c>
      <c r="C102" s="23">
        <v>10025</v>
      </c>
      <c r="D102" s="23">
        <v>7271</v>
      </c>
      <c r="E102" s="206">
        <v>0.403</v>
      </c>
      <c r="F102" s="207">
        <v>3008</v>
      </c>
      <c r="G102" s="165" t="s">
        <v>282</v>
      </c>
      <c r="H102" s="61">
        <v>18</v>
      </c>
      <c r="I102" s="61">
        <v>10</v>
      </c>
      <c r="J102" s="61">
        <v>7</v>
      </c>
      <c r="K102" s="63">
        <v>0.389</v>
      </c>
      <c r="L102" s="61">
        <v>3</v>
      </c>
    </row>
    <row r="103" spans="1:12" ht="15.75" customHeight="1">
      <c r="A103" s="211" t="s">
        <v>316</v>
      </c>
      <c r="B103" s="23"/>
      <c r="C103" s="23"/>
      <c r="D103" s="23"/>
      <c r="E103" s="206" t="s">
        <v>63</v>
      </c>
      <c r="F103" s="207"/>
      <c r="G103" s="211" t="s">
        <v>316</v>
      </c>
      <c r="H103" s="184"/>
      <c r="I103" s="184"/>
      <c r="J103" s="184"/>
      <c r="K103" s="63"/>
      <c r="L103" s="184"/>
    </row>
    <row r="104" spans="1:12" ht="12.75">
      <c r="A104" s="165" t="s">
        <v>288</v>
      </c>
      <c r="B104" s="23">
        <v>840000</v>
      </c>
      <c r="C104" s="23">
        <v>800000</v>
      </c>
      <c r="D104" s="23">
        <v>643024</v>
      </c>
      <c r="E104" s="206">
        <v>0.766</v>
      </c>
      <c r="F104" s="207">
        <v>62582</v>
      </c>
      <c r="G104" s="165" t="s">
        <v>288</v>
      </c>
      <c r="H104" s="184">
        <v>840</v>
      </c>
      <c r="I104" s="61">
        <v>800</v>
      </c>
      <c r="J104" s="184">
        <v>643</v>
      </c>
      <c r="K104" s="63">
        <v>0.765</v>
      </c>
      <c r="L104" s="184">
        <v>62</v>
      </c>
    </row>
    <row r="105" spans="1:12" ht="12.75">
      <c r="A105" s="165" t="s">
        <v>317</v>
      </c>
      <c r="B105" s="23">
        <v>840000</v>
      </c>
      <c r="C105" s="23"/>
      <c r="D105" s="23">
        <v>640622</v>
      </c>
      <c r="E105" s="206">
        <v>0.763</v>
      </c>
      <c r="F105" s="207">
        <v>62957</v>
      </c>
      <c r="G105" s="165" t="s">
        <v>317</v>
      </c>
      <c r="H105" s="61">
        <v>840</v>
      </c>
      <c r="I105" s="61">
        <v>0</v>
      </c>
      <c r="J105" s="61">
        <v>641</v>
      </c>
      <c r="K105" s="63">
        <v>0.763</v>
      </c>
      <c r="L105" s="61">
        <v>63</v>
      </c>
    </row>
    <row r="106" spans="1:12" ht="12.75">
      <c r="A106" s="165" t="s">
        <v>294</v>
      </c>
      <c r="B106" s="23"/>
      <c r="C106" s="23"/>
      <c r="D106" s="23">
        <v>2402</v>
      </c>
      <c r="E106" s="206" t="s">
        <v>63</v>
      </c>
      <c r="F106" s="207">
        <v>-375</v>
      </c>
      <c r="G106" s="165" t="s">
        <v>294</v>
      </c>
      <c r="H106" s="61">
        <v>0</v>
      </c>
      <c r="I106" s="61">
        <v>0</v>
      </c>
      <c r="J106" s="61">
        <v>2</v>
      </c>
      <c r="K106" s="63" t="s">
        <v>63</v>
      </c>
      <c r="L106" s="61">
        <v>-1</v>
      </c>
    </row>
    <row r="107" spans="1:12" ht="12.75">
      <c r="A107" s="165" t="s">
        <v>289</v>
      </c>
      <c r="B107" s="23">
        <v>840000</v>
      </c>
      <c r="C107" s="23">
        <v>800000</v>
      </c>
      <c r="D107" s="23">
        <v>558761</v>
      </c>
      <c r="E107" s="206">
        <v>0.665</v>
      </c>
      <c r="F107" s="207">
        <v>62578</v>
      </c>
      <c r="G107" s="165" t="s">
        <v>289</v>
      </c>
      <c r="H107" s="184">
        <v>840</v>
      </c>
      <c r="I107" s="184">
        <v>800</v>
      </c>
      <c r="J107" s="184">
        <v>559</v>
      </c>
      <c r="K107" s="63">
        <v>0.665</v>
      </c>
      <c r="L107" s="184">
        <v>62</v>
      </c>
    </row>
    <row r="108" spans="1:12" ht="12.75">
      <c r="A108" s="165" t="s">
        <v>281</v>
      </c>
      <c r="B108" s="23">
        <v>487506</v>
      </c>
      <c r="C108" s="23">
        <v>457506</v>
      </c>
      <c r="D108" s="23">
        <v>347235</v>
      </c>
      <c r="E108" s="206">
        <v>0.712</v>
      </c>
      <c r="F108" s="207">
        <v>36728</v>
      </c>
      <c r="G108" s="165" t="s">
        <v>281</v>
      </c>
      <c r="H108" s="61">
        <v>488</v>
      </c>
      <c r="I108" s="61">
        <v>458</v>
      </c>
      <c r="J108" s="61">
        <v>347</v>
      </c>
      <c r="K108" s="63">
        <v>0.711</v>
      </c>
      <c r="L108" s="61">
        <v>36</v>
      </c>
    </row>
    <row r="109" spans="1:12" ht="12.75">
      <c r="A109" s="165" t="s">
        <v>282</v>
      </c>
      <c r="B109" s="23">
        <v>352494</v>
      </c>
      <c r="C109" s="23">
        <v>342494</v>
      </c>
      <c r="D109" s="23">
        <v>211526</v>
      </c>
      <c r="E109" s="206">
        <v>0.6</v>
      </c>
      <c r="F109" s="207">
        <v>25850</v>
      </c>
      <c r="G109" s="165" t="s">
        <v>282</v>
      </c>
      <c r="H109" s="61">
        <v>352</v>
      </c>
      <c r="I109" s="61">
        <v>342</v>
      </c>
      <c r="J109" s="61">
        <v>212</v>
      </c>
      <c r="K109" s="63">
        <v>0.602</v>
      </c>
      <c r="L109" s="61">
        <v>26</v>
      </c>
    </row>
    <row r="110" spans="1:12" ht="16.5" customHeight="1">
      <c r="A110" s="211" t="s">
        <v>318</v>
      </c>
      <c r="B110" s="23"/>
      <c r="C110" s="23"/>
      <c r="D110" s="23"/>
      <c r="E110" s="206" t="s">
        <v>63</v>
      </c>
      <c r="F110" s="207"/>
      <c r="G110" s="211" t="s">
        <v>318</v>
      </c>
      <c r="H110" s="184"/>
      <c r="I110" s="184"/>
      <c r="J110" s="184"/>
      <c r="K110" s="63"/>
      <c r="L110" s="184"/>
    </row>
    <row r="111" spans="1:12" ht="12.75">
      <c r="A111" s="165" t="s">
        <v>288</v>
      </c>
      <c r="B111" s="23">
        <v>1881705</v>
      </c>
      <c r="C111" s="23">
        <v>1852951</v>
      </c>
      <c r="D111" s="23">
        <v>2186919</v>
      </c>
      <c r="E111" s="206">
        <v>1.162</v>
      </c>
      <c r="F111" s="207">
        <v>646049</v>
      </c>
      <c r="G111" s="165" t="s">
        <v>288</v>
      </c>
      <c r="H111" s="61">
        <v>1882</v>
      </c>
      <c r="I111" s="61">
        <v>1853</v>
      </c>
      <c r="J111" s="61">
        <v>2187</v>
      </c>
      <c r="K111" s="63">
        <v>1.162</v>
      </c>
      <c r="L111" s="61">
        <v>646</v>
      </c>
    </row>
    <row r="112" spans="1:12" ht="12.75">
      <c r="A112" s="165" t="s">
        <v>289</v>
      </c>
      <c r="B112" s="23">
        <v>3610882</v>
      </c>
      <c r="C112" s="23">
        <v>3526221</v>
      </c>
      <c r="D112" s="23">
        <v>4194090</v>
      </c>
      <c r="E112" s="206">
        <v>1.162</v>
      </c>
      <c r="F112" s="207">
        <v>1376829</v>
      </c>
      <c r="G112" s="165" t="s">
        <v>289</v>
      </c>
      <c r="H112" s="184">
        <v>3611</v>
      </c>
      <c r="I112" s="184">
        <v>3526</v>
      </c>
      <c r="J112" s="184">
        <v>4194</v>
      </c>
      <c r="K112" s="63">
        <v>1.161</v>
      </c>
      <c r="L112" s="184">
        <v>1377</v>
      </c>
    </row>
    <row r="113" spans="1:12" ht="12.75">
      <c r="A113" s="165" t="s">
        <v>282</v>
      </c>
      <c r="B113" s="23">
        <v>3610882</v>
      </c>
      <c r="C113" s="23">
        <v>3526221</v>
      </c>
      <c r="D113" s="23">
        <v>4194090</v>
      </c>
      <c r="E113" s="206">
        <v>1.162</v>
      </c>
      <c r="F113" s="207">
        <v>1376829</v>
      </c>
      <c r="G113" s="165" t="s">
        <v>282</v>
      </c>
      <c r="H113" s="61">
        <v>3611</v>
      </c>
      <c r="I113" s="61">
        <v>3526</v>
      </c>
      <c r="J113" s="61">
        <v>4194</v>
      </c>
      <c r="K113" s="63">
        <v>1.161</v>
      </c>
      <c r="L113" s="61">
        <v>1377</v>
      </c>
    </row>
    <row r="114" spans="1:12" ht="15" customHeight="1">
      <c r="A114" s="30" t="s">
        <v>198</v>
      </c>
      <c r="B114" s="23"/>
      <c r="C114" s="23"/>
      <c r="D114" s="23"/>
      <c r="E114" s="206" t="s">
        <v>63</v>
      </c>
      <c r="F114" s="207"/>
      <c r="G114" s="30" t="s">
        <v>198</v>
      </c>
      <c r="H114" s="184"/>
      <c r="I114" s="184"/>
      <c r="J114" s="184"/>
      <c r="K114" s="63"/>
      <c r="L114" s="184"/>
    </row>
    <row r="115" spans="1:12" ht="15.75" customHeight="1">
      <c r="A115" s="211" t="s">
        <v>319</v>
      </c>
      <c r="B115" s="23"/>
      <c r="C115" s="23"/>
      <c r="D115" s="23"/>
      <c r="E115" s="206" t="s">
        <v>63</v>
      </c>
      <c r="F115" s="207"/>
      <c r="G115" s="211" t="s">
        <v>319</v>
      </c>
      <c r="H115" s="184"/>
      <c r="I115" s="184"/>
      <c r="J115" s="184"/>
      <c r="K115" s="63"/>
      <c r="L115" s="184"/>
    </row>
    <row r="116" spans="1:12" ht="12.75">
      <c r="A116" s="165" t="s">
        <v>288</v>
      </c>
      <c r="B116" s="23">
        <v>453488313</v>
      </c>
      <c r="C116" s="23">
        <v>386216653</v>
      </c>
      <c r="D116" s="23">
        <v>375863960</v>
      </c>
      <c r="E116" s="206">
        <v>0.829</v>
      </c>
      <c r="F116" s="207">
        <v>38774754</v>
      </c>
      <c r="G116" s="165" t="s">
        <v>288</v>
      </c>
      <c r="H116" s="184">
        <v>453488</v>
      </c>
      <c r="I116" s="61">
        <v>386217</v>
      </c>
      <c r="J116" s="184">
        <v>375865</v>
      </c>
      <c r="K116" s="63">
        <v>0.829</v>
      </c>
      <c r="L116" s="61">
        <v>38776</v>
      </c>
    </row>
    <row r="117" spans="1:33" s="187" customFormat="1" ht="12.75">
      <c r="A117" s="212" t="s">
        <v>320</v>
      </c>
      <c r="B117" s="25">
        <v>445475000</v>
      </c>
      <c r="C117" s="25"/>
      <c r="D117" s="25">
        <v>369538670</v>
      </c>
      <c r="E117" s="206">
        <v>0.83</v>
      </c>
      <c r="F117" s="207">
        <v>38016619</v>
      </c>
      <c r="G117" s="165" t="s">
        <v>320</v>
      </c>
      <c r="H117" s="61">
        <v>445475</v>
      </c>
      <c r="I117" s="61">
        <v>0</v>
      </c>
      <c r="J117" s="61">
        <v>369539</v>
      </c>
      <c r="K117" s="63">
        <v>0.83</v>
      </c>
      <c r="L117" s="61">
        <v>38017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87" customFormat="1" ht="12.75">
      <c r="A118" s="212" t="s">
        <v>321</v>
      </c>
      <c r="B118" s="25">
        <v>5687299</v>
      </c>
      <c r="C118" s="25"/>
      <c r="D118" s="25">
        <v>4703683</v>
      </c>
      <c r="E118" s="206">
        <v>0.827</v>
      </c>
      <c r="F118" s="207">
        <v>492014</v>
      </c>
      <c r="G118" s="165" t="s">
        <v>321</v>
      </c>
      <c r="H118" s="61">
        <v>5687</v>
      </c>
      <c r="I118" s="61">
        <v>0</v>
      </c>
      <c r="J118" s="61">
        <v>4704</v>
      </c>
      <c r="K118" s="63">
        <v>0.827</v>
      </c>
      <c r="L118" s="61">
        <v>492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87" customFormat="1" ht="12.75">
      <c r="A119" s="212" t="s">
        <v>322</v>
      </c>
      <c r="B119" s="25">
        <v>2326014</v>
      </c>
      <c r="C119" s="25"/>
      <c r="D119" s="25">
        <v>1621607</v>
      </c>
      <c r="E119" s="206">
        <v>0.697</v>
      </c>
      <c r="F119" s="207">
        <v>266121</v>
      </c>
      <c r="G119" s="165" t="s">
        <v>322</v>
      </c>
      <c r="H119" s="61">
        <v>2326</v>
      </c>
      <c r="I119" s="61">
        <v>0</v>
      </c>
      <c r="J119" s="61">
        <v>1622</v>
      </c>
      <c r="K119" s="63">
        <v>0.697</v>
      </c>
      <c r="L119" s="61">
        <v>267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87" customFormat="1" ht="12.75">
      <c r="A120" s="165" t="s">
        <v>289</v>
      </c>
      <c r="B120" s="23">
        <v>523210392</v>
      </c>
      <c r="C120" s="23">
        <v>437005641</v>
      </c>
      <c r="D120" s="23">
        <v>426599988</v>
      </c>
      <c r="E120" s="206">
        <v>0.815</v>
      </c>
      <c r="F120" s="207">
        <v>41019239</v>
      </c>
      <c r="G120" s="165" t="s">
        <v>289</v>
      </c>
      <c r="H120" s="23">
        <v>523210</v>
      </c>
      <c r="I120" s="23">
        <v>437006</v>
      </c>
      <c r="J120" s="23">
        <v>426600</v>
      </c>
      <c r="K120" s="63">
        <v>0.815</v>
      </c>
      <c r="L120" s="184">
        <v>41020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165" t="s">
        <v>281</v>
      </c>
      <c r="B121" s="23">
        <v>519554392</v>
      </c>
      <c r="C121" s="23">
        <v>434024078</v>
      </c>
      <c r="D121" s="23">
        <v>424838131</v>
      </c>
      <c r="E121" s="206">
        <v>0.818</v>
      </c>
      <c r="F121" s="207">
        <v>40927684</v>
      </c>
      <c r="G121" s="165" t="s">
        <v>281</v>
      </c>
      <c r="H121" s="61">
        <v>519554</v>
      </c>
      <c r="I121" s="61">
        <v>434024</v>
      </c>
      <c r="J121" s="61">
        <v>424838</v>
      </c>
      <c r="K121" s="63">
        <v>0.818</v>
      </c>
      <c r="L121" s="61">
        <v>40928</v>
      </c>
    </row>
    <row r="122" spans="1:12" ht="12.75">
      <c r="A122" s="165" t="s">
        <v>282</v>
      </c>
      <c r="B122" s="23">
        <v>3656000</v>
      </c>
      <c r="C122" s="23">
        <v>2981563</v>
      </c>
      <c r="D122" s="23">
        <v>1761857</v>
      </c>
      <c r="E122" s="206">
        <v>0.482</v>
      </c>
      <c r="F122" s="207">
        <v>91555</v>
      </c>
      <c r="G122" s="165" t="s">
        <v>282</v>
      </c>
      <c r="H122" s="61">
        <v>3656</v>
      </c>
      <c r="I122" s="61">
        <v>2982</v>
      </c>
      <c r="J122" s="61">
        <v>1762</v>
      </c>
      <c r="K122" s="63">
        <v>0.482</v>
      </c>
      <c r="L122" s="61">
        <v>92</v>
      </c>
    </row>
    <row r="123" spans="1:12" ht="12.75">
      <c r="A123" s="165" t="s">
        <v>285</v>
      </c>
      <c r="B123" s="23">
        <v>-69722079</v>
      </c>
      <c r="C123" s="23">
        <v>-50788988</v>
      </c>
      <c r="D123" s="23">
        <v>-50736028</v>
      </c>
      <c r="E123" s="206">
        <v>0.728</v>
      </c>
      <c r="F123" s="207">
        <v>-2244485</v>
      </c>
      <c r="G123" s="165" t="s">
        <v>285</v>
      </c>
      <c r="H123" s="61">
        <v>-69722</v>
      </c>
      <c r="I123" s="61">
        <v>-50789</v>
      </c>
      <c r="J123" s="61">
        <v>-50736</v>
      </c>
      <c r="K123" s="63">
        <v>0.728</v>
      </c>
      <c r="L123" s="61">
        <v>-2244</v>
      </c>
    </row>
    <row r="124" spans="1:12" ht="12.75">
      <c r="A124" s="165" t="s">
        <v>286</v>
      </c>
      <c r="B124" s="23">
        <v>54693986</v>
      </c>
      <c r="C124" s="23"/>
      <c r="D124" s="23">
        <v>33798968</v>
      </c>
      <c r="E124" s="206">
        <v>0.618</v>
      </c>
      <c r="F124" s="207">
        <v>1942919</v>
      </c>
      <c r="G124" s="165" t="s">
        <v>286</v>
      </c>
      <c r="H124" s="61">
        <v>54694</v>
      </c>
      <c r="I124" s="61">
        <v>0</v>
      </c>
      <c r="J124" s="61">
        <v>33799</v>
      </c>
      <c r="K124" s="63">
        <v>0.618</v>
      </c>
      <c r="L124" s="61">
        <v>1943</v>
      </c>
    </row>
    <row r="125" spans="1:12" ht="12.75">
      <c r="A125" s="211" t="s">
        <v>323</v>
      </c>
      <c r="B125" s="23"/>
      <c r="C125" s="23"/>
      <c r="D125" s="23"/>
      <c r="E125" s="206" t="s">
        <v>63</v>
      </c>
      <c r="F125" s="207"/>
      <c r="G125" s="211" t="s">
        <v>323</v>
      </c>
      <c r="H125" s="184"/>
      <c r="I125" s="184"/>
      <c r="J125" s="184"/>
      <c r="K125" s="63"/>
      <c r="L125" s="184"/>
    </row>
    <row r="126" spans="1:12" ht="12.75">
      <c r="A126" s="165" t="s">
        <v>288</v>
      </c>
      <c r="B126" s="23">
        <v>359238385</v>
      </c>
      <c r="C126" s="23">
        <v>305504606</v>
      </c>
      <c r="D126" s="23">
        <v>297560031</v>
      </c>
      <c r="E126" s="206">
        <v>0.828</v>
      </c>
      <c r="F126" s="207">
        <v>30784945</v>
      </c>
      <c r="G126" s="165" t="s">
        <v>288</v>
      </c>
      <c r="H126" s="184">
        <v>359238</v>
      </c>
      <c r="I126" s="69">
        <v>305505</v>
      </c>
      <c r="J126" s="184">
        <v>297559</v>
      </c>
      <c r="K126" s="63">
        <v>0.828</v>
      </c>
      <c r="L126" s="61">
        <v>30784</v>
      </c>
    </row>
    <row r="127" spans="1:33" s="187" customFormat="1" ht="12.75">
      <c r="A127" s="212" t="s">
        <v>320</v>
      </c>
      <c r="B127" s="25">
        <v>336834000</v>
      </c>
      <c r="C127" s="25"/>
      <c r="D127" s="69">
        <v>279384498</v>
      </c>
      <c r="E127" s="206" t="s">
        <v>63</v>
      </c>
      <c r="F127" s="207">
        <v>28747283</v>
      </c>
      <c r="G127" s="212" t="s">
        <v>320</v>
      </c>
      <c r="H127" s="69">
        <v>336834</v>
      </c>
      <c r="I127" s="69">
        <v>0</v>
      </c>
      <c r="J127" s="69">
        <v>279384</v>
      </c>
      <c r="K127" s="70">
        <v>0.829</v>
      </c>
      <c r="L127" s="69">
        <v>28747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87" customFormat="1" ht="12.75">
      <c r="A128" s="212" t="s">
        <v>321</v>
      </c>
      <c r="B128" s="25">
        <v>3224892</v>
      </c>
      <c r="C128" s="25"/>
      <c r="D128" s="69">
        <v>2636347</v>
      </c>
      <c r="E128" s="206" t="s">
        <v>63</v>
      </c>
      <c r="F128" s="207">
        <v>300000</v>
      </c>
      <c r="G128" s="212" t="s">
        <v>321</v>
      </c>
      <c r="H128" s="69">
        <v>3225</v>
      </c>
      <c r="I128" s="69">
        <v>0</v>
      </c>
      <c r="J128" s="69">
        <v>2636</v>
      </c>
      <c r="K128" s="70">
        <v>0.817</v>
      </c>
      <c r="L128" s="69">
        <v>300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87" customFormat="1" ht="12.75">
      <c r="A129" s="212" t="s">
        <v>322</v>
      </c>
      <c r="B129" s="25">
        <v>19179493</v>
      </c>
      <c r="C129" s="25"/>
      <c r="D129" s="69">
        <v>15539186</v>
      </c>
      <c r="E129" s="206" t="s">
        <v>63</v>
      </c>
      <c r="F129" s="207">
        <v>1737662</v>
      </c>
      <c r="G129" s="212" t="s">
        <v>322</v>
      </c>
      <c r="H129" s="69">
        <v>19179</v>
      </c>
      <c r="I129" s="69">
        <v>0</v>
      </c>
      <c r="J129" s="69">
        <v>15539</v>
      </c>
      <c r="K129" s="70">
        <v>0.81</v>
      </c>
      <c r="L129" s="69">
        <v>1737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87" customFormat="1" ht="12.75">
      <c r="A130" s="165" t="s">
        <v>289</v>
      </c>
      <c r="B130" s="25">
        <v>405035050</v>
      </c>
      <c r="C130" s="25">
        <v>337000354</v>
      </c>
      <c r="D130" s="25">
        <v>331922727</v>
      </c>
      <c r="E130" s="206">
        <v>0.819</v>
      </c>
      <c r="F130" s="217">
        <v>32448571</v>
      </c>
      <c r="G130" s="165" t="s">
        <v>289</v>
      </c>
      <c r="H130" s="184">
        <v>405035</v>
      </c>
      <c r="I130" s="184">
        <v>337000</v>
      </c>
      <c r="J130" s="184">
        <v>331923</v>
      </c>
      <c r="K130" s="63">
        <v>0.819</v>
      </c>
      <c r="L130" s="184">
        <v>32449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165" t="s">
        <v>324</v>
      </c>
      <c r="B131" s="23">
        <v>405035050</v>
      </c>
      <c r="C131" s="23">
        <v>337000354</v>
      </c>
      <c r="D131" s="69">
        <v>331922727</v>
      </c>
      <c r="E131" s="206" t="s">
        <v>63</v>
      </c>
      <c r="F131" s="207">
        <v>32448571</v>
      </c>
      <c r="G131" s="212" t="s">
        <v>324</v>
      </c>
      <c r="H131" s="69">
        <v>405035</v>
      </c>
      <c r="I131" s="69">
        <v>337000</v>
      </c>
      <c r="J131" s="69">
        <v>331923</v>
      </c>
      <c r="K131" s="70">
        <v>0.819</v>
      </c>
      <c r="L131" s="69">
        <v>32449</v>
      </c>
    </row>
    <row r="132" spans="1:12" ht="12.75">
      <c r="A132" s="165" t="s">
        <v>285</v>
      </c>
      <c r="B132" s="23">
        <v>-45796665</v>
      </c>
      <c r="C132" s="23">
        <v>-31495748</v>
      </c>
      <c r="D132" s="23">
        <v>-34362696</v>
      </c>
      <c r="E132" s="206">
        <v>0.75</v>
      </c>
      <c r="F132" s="207">
        <v>-1663626</v>
      </c>
      <c r="G132" s="165" t="s">
        <v>285</v>
      </c>
      <c r="H132" s="184">
        <v>-45797</v>
      </c>
      <c r="I132" s="184">
        <v>-31495</v>
      </c>
      <c r="J132" s="184">
        <v>-34364</v>
      </c>
      <c r="K132" s="63">
        <v>0.75</v>
      </c>
      <c r="L132" s="184">
        <v>-1665</v>
      </c>
    </row>
    <row r="133" spans="1:12" ht="12.75">
      <c r="A133" s="165" t="s">
        <v>286</v>
      </c>
      <c r="B133" s="23">
        <v>40394886</v>
      </c>
      <c r="C133" s="23"/>
      <c r="D133" s="23">
        <v>26836558</v>
      </c>
      <c r="E133" s="206">
        <v>0.664</v>
      </c>
      <c r="F133" s="207">
        <v>1669596</v>
      </c>
      <c r="G133" s="165" t="s">
        <v>286</v>
      </c>
      <c r="H133" s="61">
        <v>40395</v>
      </c>
      <c r="I133" s="61">
        <v>0</v>
      </c>
      <c r="J133" s="61">
        <v>26837</v>
      </c>
      <c r="K133" s="63">
        <v>0.664</v>
      </c>
      <c r="L133" s="61">
        <v>1670</v>
      </c>
    </row>
    <row r="134" spans="1:12" ht="12.75">
      <c r="A134" s="211" t="s">
        <v>325</v>
      </c>
      <c r="B134" s="23"/>
      <c r="C134" s="23"/>
      <c r="D134" s="23"/>
      <c r="E134" s="206" t="s">
        <v>63</v>
      </c>
      <c r="F134" s="207"/>
      <c r="G134" s="211" t="s">
        <v>325</v>
      </c>
      <c r="H134" s="184"/>
      <c r="I134" s="184"/>
      <c r="J134" s="184"/>
      <c r="K134" s="63"/>
      <c r="L134" s="184"/>
    </row>
    <row r="135" spans="1:12" ht="12.75">
      <c r="A135" s="165" t="s">
        <v>288</v>
      </c>
      <c r="B135" s="23">
        <v>32506731</v>
      </c>
      <c r="C135" s="23">
        <v>27525566</v>
      </c>
      <c r="D135" s="23">
        <v>28332013</v>
      </c>
      <c r="E135" s="206">
        <v>0.872</v>
      </c>
      <c r="F135" s="207">
        <v>2831032</v>
      </c>
      <c r="G135" s="165" t="s">
        <v>288</v>
      </c>
      <c r="H135" s="184">
        <v>32507</v>
      </c>
      <c r="I135" s="69">
        <v>27526</v>
      </c>
      <c r="J135" s="184">
        <v>28333</v>
      </c>
      <c r="K135" s="63">
        <v>0.872</v>
      </c>
      <c r="L135" s="61">
        <v>2832</v>
      </c>
    </row>
    <row r="136" spans="1:33" s="187" customFormat="1" ht="12.75">
      <c r="A136" s="212" t="s">
        <v>320</v>
      </c>
      <c r="B136" s="25">
        <v>28184325</v>
      </c>
      <c r="C136" s="25"/>
      <c r="D136" s="25">
        <v>24785982</v>
      </c>
      <c r="E136" s="206">
        <v>0.879</v>
      </c>
      <c r="F136" s="207">
        <v>2404709</v>
      </c>
      <c r="G136" s="212" t="s">
        <v>320</v>
      </c>
      <c r="H136" s="69">
        <v>28184</v>
      </c>
      <c r="I136" s="69">
        <v>0</v>
      </c>
      <c r="J136" s="69">
        <v>24786</v>
      </c>
      <c r="K136" s="70">
        <v>0.879</v>
      </c>
      <c r="L136" s="69">
        <v>2405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87" customFormat="1" ht="12.75">
      <c r="A137" s="212" t="s">
        <v>321</v>
      </c>
      <c r="B137" s="25">
        <v>372407</v>
      </c>
      <c r="C137" s="25"/>
      <c r="D137" s="25">
        <v>331501</v>
      </c>
      <c r="E137" s="206">
        <v>0.89</v>
      </c>
      <c r="F137" s="207">
        <v>14732</v>
      </c>
      <c r="G137" s="212" t="s">
        <v>321</v>
      </c>
      <c r="H137" s="69">
        <v>373</v>
      </c>
      <c r="I137" s="69">
        <v>0</v>
      </c>
      <c r="J137" s="69">
        <v>332</v>
      </c>
      <c r="K137" s="70">
        <v>0.89</v>
      </c>
      <c r="L137" s="69">
        <v>15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87" customFormat="1" ht="12.75">
      <c r="A138" s="212" t="s">
        <v>322</v>
      </c>
      <c r="B138" s="25">
        <v>3949999</v>
      </c>
      <c r="C138" s="25"/>
      <c r="D138" s="25">
        <v>3214530</v>
      </c>
      <c r="E138" s="206">
        <v>0.814</v>
      </c>
      <c r="F138" s="207">
        <v>411591</v>
      </c>
      <c r="G138" s="212" t="s">
        <v>322</v>
      </c>
      <c r="H138" s="69">
        <v>3950</v>
      </c>
      <c r="I138" s="69">
        <v>0</v>
      </c>
      <c r="J138" s="69">
        <v>3215</v>
      </c>
      <c r="K138" s="70">
        <v>0.814</v>
      </c>
      <c r="L138" s="69">
        <v>412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87" customFormat="1" ht="12.75">
      <c r="A139" s="165" t="s">
        <v>289</v>
      </c>
      <c r="B139" s="25">
        <v>43019897</v>
      </c>
      <c r="C139" s="25">
        <v>3773516</v>
      </c>
      <c r="D139" s="25">
        <v>37104496</v>
      </c>
      <c r="E139" s="206">
        <v>0.862</v>
      </c>
      <c r="F139" s="217">
        <v>3192332</v>
      </c>
      <c r="G139" s="165" t="s">
        <v>289</v>
      </c>
      <c r="H139" s="184">
        <v>43020</v>
      </c>
      <c r="I139" s="184">
        <v>3774</v>
      </c>
      <c r="J139" s="184">
        <v>37104</v>
      </c>
      <c r="K139" s="63">
        <v>0.862</v>
      </c>
      <c r="L139" s="184">
        <v>3192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87" customFormat="1" ht="12.75">
      <c r="A140" s="212" t="s">
        <v>324</v>
      </c>
      <c r="B140" s="25">
        <v>43004897</v>
      </c>
      <c r="C140" s="25">
        <v>3758516</v>
      </c>
      <c r="D140" s="25">
        <v>37089496</v>
      </c>
      <c r="E140" s="218">
        <v>0.862</v>
      </c>
      <c r="F140" s="207">
        <v>3192332</v>
      </c>
      <c r="G140" s="212" t="s">
        <v>324</v>
      </c>
      <c r="H140" s="69">
        <v>43005</v>
      </c>
      <c r="I140" s="69">
        <v>3759</v>
      </c>
      <c r="J140" s="69">
        <v>37089</v>
      </c>
      <c r="K140" s="70">
        <v>0.862</v>
      </c>
      <c r="L140" s="69">
        <v>3192</v>
      </c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</row>
    <row r="141" spans="1:33" s="187" customFormat="1" ht="12.75">
      <c r="A141" s="212" t="s">
        <v>326</v>
      </c>
      <c r="B141" s="25">
        <v>15000</v>
      </c>
      <c r="C141" s="25">
        <v>15000</v>
      </c>
      <c r="D141" s="25">
        <v>15000</v>
      </c>
      <c r="E141" s="218">
        <v>1</v>
      </c>
      <c r="F141" s="207">
        <v>0</v>
      </c>
      <c r="G141" s="212" t="s">
        <v>326</v>
      </c>
      <c r="H141" s="69">
        <v>15</v>
      </c>
      <c r="I141" s="69">
        <v>15</v>
      </c>
      <c r="J141" s="69">
        <v>15</v>
      </c>
      <c r="K141" s="70">
        <v>1</v>
      </c>
      <c r="L141" s="69">
        <v>0</v>
      </c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</row>
    <row r="142" spans="1:12" ht="12.75">
      <c r="A142" s="165" t="s">
        <v>285</v>
      </c>
      <c r="B142" s="23">
        <v>-10513166</v>
      </c>
      <c r="C142" s="23">
        <v>23752050</v>
      </c>
      <c r="D142" s="23">
        <v>-8772483</v>
      </c>
      <c r="E142" s="206">
        <v>0.834</v>
      </c>
      <c r="F142" s="207">
        <v>-361300</v>
      </c>
      <c r="G142" s="165" t="s">
        <v>285</v>
      </c>
      <c r="H142" s="184">
        <v>-10513</v>
      </c>
      <c r="I142" s="184">
        <v>23752</v>
      </c>
      <c r="J142" s="184">
        <v>-8771</v>
      </c>
      <c r="K142" s="63">
        <v>0.834</v>
      </c>
      <c r="L142" s="184">
        <v>-360</v>
      </c>
    </row>
    <row r="143" spans="1:12" ht="12.75">
      <c r="A143" s="165" t="s">
        <v>286</v>
      </c>
      <c r="B143" s="220">
        <v>1262595</v>
      </c>
      <c r="C143" s="220"/>
      <c r="D143" s="220"/>
      <c r="E143" s="206">
        <v>0</v>
      </c>
      <c r="F143" s="207">
        <v>0</v>
      </c>
      <c r="G143" s="165" t="s">
        <v>286</v>
      </c>
      <c r="H143" s="61">
        <v>1263</v>
      </c>
      <c r="I143" s="61">
        <v>0</v>
      </c>
      <c r="J143" s="61">
        <v>0</v>
      </c>
      <c r="K143" s="63"/>
      <c r="L143" s="61">
        <v>0</v>
      </c>
    </row>
    <row r="144" spans="1:12" ht="12.75">
      <c r="A144" s="211" t="s">
        <v>327</v>
      </c>
      <c r="B144" s="23"/>
      <c r="C144" s="23"/>
      <c r="D144" s="23"/>
      <c r="E144" s="206" t="s">
        <v>63</v>
      </c>
      <c r="F144" s="207"/>
      <c r="G144" s="211" t="s">
        <v>327</v>
      </c>
      <c r="H144" s="184"/>
      <c r="I144" s="184"/>
      <c r="J144" s="184"/>
      <c r="K144" s="63" t="s">
        <v>63</v>
      </c>
      <c r="L144" s="184"/>
    </row>
    <row r="145" spans="1:12" ht="12.75">
      <c r="A145" s="165" t="s">
        <v>288</v>
      </c>
      <c r="B145" s="23">
        <v>1071605</v>
      </c>
      <c r="C145" s="23">
        <v>911760</v>
      </c>
      <c r="D145" s="23">
        <v>888634</v>
      </c>
      <c r="E145" s="206">
        <v>0.829</v>
      </c>
      <c r="F145" s="207">
        <v>93257</v>
      </c>
      <c r="G145" s="165" t="s">
        <v>288</v>
      </c>
      <c r="H145" s="184">
        <v>1072</v>
      </c>
      <c r="I145" s="69">
        <v>912</v>
      </c>
      <c r="J145" s="184">
        <v>889</v>
      </c>
      <c r="K145" s="63">
        <v>0.829</v>
      </c>
      <c r="L145" s="184">
        <v>93</v>
      </c>
    </row>
    <row r="146" spans="1:33" s="187" customFormat="1" ht="12.75">
      <c r="A146" s="212" t="s">
        <v>320</v>
      </c>
      <c r="B146" s="25">
        <v>1024075</v>
      </c>
      <c r="C146" s="25"/>
      <c r="D146" s="25">
        <v>870059</v>
      </c>
      <c r="E146" s="206">
        <v>0.85</v>
      </c>
      <c r="F146" s="207">
        <v>87375</v>
      </c>
      <c r="G146" s="212" t="s">
        <v>320</v>
      </c>
      <c r="H146" s="69">
        <v>1024</v>
      </c>
      <c r="I146" s="69">
        <v>0</v>
      </c>
      <c r="J146" s="69">
        <v>870</v>
      </c>
      <c r="K146" s="70">
        <v>0.85</v>
      </c>
      <c r="L146" s="69">
        <v>87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87" customFormat="1" ht="13.5" customHeight="1" hidden="1">
      <c r="A147" s="212"/>
      <c r="B147" s="25"/>
      <c r="C147" s="25"/>
      <c r="D147" s="25"/>
      <c r="E147" s="206" t="s">
        <v>63</v>
      </c>
      <c r="F147" s="217"/>
      <c r="G147" s="212"/>
      <c r="H147" s="221"/>
      <c r="I147" s="221"/>
      <c r="J147" s="221"/>
      <c r="K147" s="70" t="s">
        <v>63</v>
      </c>
      <c r="L147" s="221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87" customFormat="1" ht="12.75">
      <c r="A148" s="212" t="s">
        <v>322</v>
      </c>
      <c r="B148" s="25">
        <v>47530</v>
      </c>
      <c r="C148" s="25"/>
      <c r="D148" s="25">
        <v>18575</v>
      </c>
      <c r="E148" s="206">
        <v>0.391</v>
      </c>
      <c r="F148" s="207">
        <v>5882</v>
      </c>
      <c r="G148" s="212" t="s">
        <v>322</v>
      </c>
      <c r="H148" s="69">
        <v>48</v>
      </c>
      <c r="I148" s="69">
        <v>0</v>
      </c>
      <c r="J148" s="69">
        <v>19</v>
      </c>
      <c r="K148" s="70">
        <v>0.396</v>
      </c>
      <c r="L148" s="61">
        <v>6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87" customFormat="1" ht="12.75">
      <c r="A149" s="165" t="s">
        <v>289</v>
      </c>
      <c r="B149" s="25">
        <v>1184169</v>
      </c>
      <c r="C149" s="25">
        <v>794422</v>
      </c>
      <c r="D149" s="25">
        <v>483647</v>
      </c>
      <c r="E149" s="206">
        <v>0.408</v>
      </c>
      <c r="F149" s="217">
        <v>48383</v>
      </c>
      <c r="G149" s="165" t="s">
        <v>289</v>
      </c>
      <c r="H149" s="184">
        <v>1184</v>
      </c>
      <c r="I149" s="184">
        <v>794</v>
      </c>
      <c r="J149" s="184">
        <v>484</v>
      </c>
      <c r="K149" s="63">
        <v>0.409</v>
      </c>
      <c r="L149" s="184">
        <v>49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165" t="s">
        <v>324</v>
      </c>
      <c r="B150" s="23">
        <v>1184169</v>
      </c>
      <c r="C150" s="23">
        <v>794422</v>
      </c>
      <c r="D150" s="23">
        <v>483647</v>
      </c>
      <c r="E150" s="206">
        <v>0.408</v>
      </c>
      <c r="F150" s="207">
        <v>48383</v>
      </c>
      <c r="G150" s="212" t="s">
        <v>324</v>
      </c>
      <c r="H150" s="69">
        <v>1184</v>
      </c>
      <c r="I150" s="69">
        <v>794</v>
      </c>
      <c r="J150" s="69">
        <v>484</v>
      </c>
      <c r="K150" s="70">
        <v>0.409</v>
      </c>
      <c r="L150" s="69">
        <v>49</v>
      </c>
    </row>
    <row r="151" spans="1:12" ht="12.75" hidden="1">
      <c r="A151" s="165"/>
      <c r="B151" s="23"/>
      <c r="C151" s="23"/>
      <c r="D151" s="23"/>
      <c r="E151" s="206" t="s">
        <v>63</v>
      </c>
      <c r="F151" s="207"/>
      <c r="G151" s="165"/>
      <c r="H151" s="184"/>
      <c r="I151" s="184"/>
      <c r="J151" s="184"/>
      <c r="K151" s="63" t="s">
        <v>63</v>
      </c>
      <c r="L151" s="184"/>
    </row>
    <row r="152" spans="1:12" ht="12.75">
      <c r="A152" s="165" t="s">
        <v>285</v>
      </c>
      <c r="B152" s="23">
        <v>-112564</v>
      </c>
      <c r="C152" s="23">
        <v>117338</v>
      </c>
      <c r="D152" s="23">
        <v>404987</v>
      </c>
      <c r="E152" s="206">
        <v>-3.598</v>
      </c>
      <c r="F152" s="207">
        <v>44874</v>
      </c>
      <c r="G152" s="165" t="s">
        <v>285</v>
      </c>
      <c r="H152" s="184">
        <v>-112</v>
      </c>
      <c r="I152" s="184">
        <v>118</v>
      </c>
      <c r="J152" s="184">
        <v>405</v>
      </c>
      <c r="K152" s="63">
        <v>-3.616</v>
      </c>
      <c r="L152" s="184">
        <v>44</v>
      </c>
    </row>
    <row r="153" spans="1:12" ht="12.75">
      <c r="A153" s="165" t="s">
        <v>286</v>
      </c>
      <c r="B153" s="220">
        <v>47445</v>
      </c>
      <c r="C153" s="220"/>
      <c r="D153" s="220"/>
      <c r="E153" s="206">
        <v>0</v>
      </c>
      <c r="F153" s="207">
        <v>0</v>
      </c>
      <c r="G153" s="165" t="s">
        <v>286</v>
      </c>
      <c r="H153" s="61">
        <v>47</v>
      </c>
      <c r="I153" s="61">
        <v>0</v>
      </c>
      <c r="J153" s="61">
        <v>0</v>
      </c>
      <c r="K153" s="63">
        <v>0</v>
      </c>
      <c r="L153" s="61">
        <v>0</v>
      </c>
    </row>
    <row r="154" spans="1:12" ht="28.5" customHeight="1">
      <c r="A154" s="213" t="s">
        <v>328</v>
      </c>
      <c r="B154" s="23"/>
      <c r="C154" s="23"/>
      <c r="D154" s="23"/>
      <c r="E154" s="206" t="s">
        <v>63</v>
      </c>
      <c r="F154" s="207"/>
      <c r="G154" s="213" t="s">
        <v>328</v>
      </c>
      <c r="H154" s="184"/>
      <c r="I154" s="184"/>
      <c r="J154" s="184"/>
      <c r="K154" s="63"/>
      <c r="L154" s="184"/>
    </row>
    <row r="155" spans="1:12" ht="12.75">
      <c r="A155" s="165" t="s">
        <v>288</v>
      </c>
      <c r="B155" s="23">
        <v>83134340</v>
      </c>
      <c r="C155" s="23">
        <v>71320866</v>
      </c>
      <c r="D155" s="23">
        <v>67228155</v>
      </c>
      <c r="E155" s="206">
        <v>0.809</v>
      </c>
      <c r="F155" s="207">
        <v>6828297</v>
      </c>
      <c r="G155" s="165" t="s">
        <v>288</v>
      </c>
      <c r="H155" s="184">
        <v>83135</v>
      </c>
      <c r="I155" s="61">
        <v>71321</v>
      </c>
      <c r="J155" s="184">
        <v>67228</v>
      </c>
      <c r="K155" s="63">
        <v>0.809</v>
      </c>
      <c r="L155" s="184">
        <v>6828</v>
      </c>
    </row>
    <row r="156" spans="1:33" s="187" customFormat="1" ht="12" customHeight="1">
      <c r="A156" s="212" t="s">
        <v>320</v>
      </c>
      <c r="B156" s="25">
        <v>79432600</v>
      </c>
      <c r="C156" s="25"/>
      <c r="D156" s="25">
        <v>64498131</v>
      </c>
      <c r="E156" s="206">
        <v>0.812</v>
      </c>
      <c r="F156" s="207">
        <v>6777252</v>
      </c>
      <c r="G156" s="212" t="s">
        <v>320</v>
      </c>
      <c r="H156" s="69">
        <v>79433</v>
      </c>
      <c r="I156" s="69">
        <v>0</v>
      </c>
      <c r="J156" s="69">
        <v>64498</v>
      </c>
      <c r="K156" s="70">
        <v>0.812</v>
      </c>
      <c r="L156" s="69">
        <v>6777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87" customFormat="1" ht="12.75" hidden="1">
      <c r="A157" s="212"/>
      <c r="B157" s="25"/>
      <c r="C157" s="25"/>
      <c r="D157" s="25"/>
      <c r="E157" s="206" t="s">
        <v>63</v>
      </c>
      <c r="F157" s="217"/>
      <c r="G157" s="212"/>
      <c r="H157" s="221"/>
      <c r="I157" s="221"/>
      <c r="J157" s="221"/>
      <c r="K157" s="70" t="s">
        <v>63</v>
      </c>
      <c r="L157" s="221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87" customFormat="1" ht="12.75">
      <c r="A158" s="212" t="s">
        <v>322</v>
      </c>
      <c r="B158" s="25">
        <v>3701740</v>
      </c>
      <c r="C158" s="25"/>
      <c r="D158" s="25">
        <v>2730024</v>
      </c>
      <c r="E158" s="206">
        <v>0.737</v>
      </c>
      <c r="F158" s="207">
        <v>51045</v>
      </c>
      <c r="G158" s="212" t="s">
        <v>322</v>
      </c>
      <c r="H158" s="69">
        <v>3702</v>
      </c>
      <c r="I158" s="69">
        <v>0</v>
      </c>
      <c r="J158" s="69">
        <v>2730</v>
      </c>
      <c r="K158" s="70">
        <v>0.737</v>
      </c>
      <c r="L158" s="69">
        <v>51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87" customFormat="1" ht="12.75">
      <c r="A159" s="165" t="s">
        <v>289</v>
      </c>
      <c r="B159" s="25">
        <v>92906905</v>
      </c>
      <c r="C159" s="25">
        <v>77644151</v>
      </c>
      <c r="D159" s="25">
        <v>74273584</v>
      </c>
      <c r="E159" s="206">
        <v>0.799</v>
      </c>
      <c r="F159" s="217">
        <v>7010345</v>
      </c>
      <c r="G159" s="165" t="s">
        <v>289</v>
      </c>
      <c r="H159" s="184">
        <v>92907</v>
      </c>
      <c r="I159" s="184">
        <v>77644</v>
      </c>
      <c r="J159" s="184">
        <v>74274</v>
      </c>
      <c r="K159" s="63">
        <v>0.799</v>
      </c>
      <c r="L159" s="184">
        <v>7011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165" t="s">
        <v>324</v>
      </c>
      <c r="B160" s="23">
        <v>92906905</v>
      </c>
      <c r="C160" s="23">
        <v>77644151</v>
      </c>
      <c r="D160" s="23">
        <v>74273584</v>
      </c>
      <c r="E160" s="206">
        <v>0.799</v>
      </c>
      <c r="F160" s="207">
        <v>7010345</v>
      </c>
      <c r="G160" s="212" t="s">
        <v>324</v>
      </c>
      <c r="H160" s="69">
        <v>92907</v>
      </c>
      <c r="I160" s="69">
        <v>77644</v>
      </c>
      <c r="J160" s="69">
        <v>74274</v>
      </c>
      <c r="K160" s="70">
        <v>0.799</v>
      </c>
      <c r="L160" s="69">
        <v>7011</v>
      </c>
    </row>
    <row r="161" spans="1:12" ht="12.75">
      <c r="A161" s="165" t="s">
        <v>285</v>
      </c>
      <c r="B161" s="23">
        <v>-9772565</v>
      </c>
      <c r="C161" s="23">
        <v>-6323285</v>
      </c>
      <c r="D161" s="23">
        <v>-7045429</v>
      </c>
      <c r="E161" s="206">
        <v>0.721</v>
      </c>
      <c r="F161" s="207">
        <v>-182048</v>
      </c>
      <c r="G161" s="165" t="s">
        <v>285</v>
      </c>
      <c r="H161" s="184">
        <v>-9772</v>
      </c>
      <c r="I161" s="184">
        <v>-6323</v>
      </c>
      <c r="J161" s="184">
        <v>-7046</v>
      </c>
      <c r="K161" s="63">
        <v>0.721</v>
      </c>
      <c r="L161" s="184">
        <v>-183</v>
      </c>
    </row>
    <row r="162" spans="1:12" ht="12.75">
      <c r="A162" s="165" t="s">
        <v>286</v>
      </c>
      <c r="B162" s="23">
        <v>9548060</v>
      </c>
      <c r="C162" s="23"/>
      <c r="D162" s="23">
        <v>5889636</v>
      </c>
      <c r="E162" s="206">
        <v>0.617</v>
      </c>
      <c r="F162" s="207">
        <v>181718</v>
      </c>
      <c r="G162" s="165" t="s">
        <v>286</v>
      </c>
      <c r="H162" s="61">
        <v>9548</v>
      </c>
      <c r="I162" s="61">
        <v>0</v>
      </c>
      <c r="J162" s="61">
        <v>5890</v>
      </c>
      <c r="K162" s="63">
        <v>0.617</v>
      </c>
      <c r="L162" s="61">
        <v>182</v>
      </c>
    </row>
    <row r="163" spans="1:12" ht="12.75">
      <c r="A163" s="211" t="s">
        <v>329</v>
      </c>
      <c r="B163" s="23"/>
      <c r="C163" s="23"/>
      <c r="D163" s="23"/>
      <c r="E163" s="206" t="s">
        <v>63</v>
      </c>
      <c r="F163" s="207"/>
      <c r="G163" s="211" t="s">
        <v>329</v>
      </c>
      <c r="H163" s="184"/>
      <c r="I163" s="184"/>
      <c r="J163" s="184"/>
      <c r="K163" s="63"/>
      <c r="L163" s="184"/>
    </row>
    <row r="164" spans="1:12" ht="12.75">
      <c r="A164" s="165" t="s">
        <v>288</v>
      </c>
      <c r="B164" s="23">
        <v>9906668</v>
      </c>
      <c r="C164" s="23">
        <v>8530512</v>
      </c>
      <c r="D164" s="23">
        <v>9906512</v>
      </c>
      <c r="E164" s="206">
        <v>1</v>
      </c>
      <c r="F164" s="207">
        <v>2100286</v>
      </c>
      <c r="G164" s="165" t="s">
        <v>288</v>
      </c>
      <c r="H164" s="184">
        <v>9907</v>
      </c>
      <c r="I164" s="61">
        <v>8531</v>
      </c>
      <c r="J164" s="184">
        <v>9907</v>
      </c>
      <c r="K164" s="63">
        <v>1</v>
      </c>
      <c r="L164" s="61">
        <v>2100</v>
      </c>
    </row>
    <row r="165" spans="1:33" s="187" customFormat="1" ht="12.75">
      <c r="A165" s="212" t="s">
        <v>321</v>
      </c>
      <c r="B165" s="25">
        <v>2090000</v>
      </c>
      <c r="C165" s="25"/>
      <c r="D165" s="25">
        <v>1735840</v>
      </c>
      <c r="E165" s="206">
        <v>0.831</v>
      </c>
      <c r="F165" s="207">
        <v>177287</v>
      </c>
      <c r="G165" s="212" t="s">
        <v>321</v>
      </c>
      <c r="H165" s="69">
        <v>2090</v>
      </c>
      <c r="I165" s="69">
        <v>0</v>
      </c>
      <c r="J165" s="69">
        <v>1736</v>
      </c>
      <c r="K165" s="70">
        <v>0.831</v>
      </c>
      <c r="L165" s="69">
        <v>177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87" customFormat="1" ht="12.75">
      <c r="A166" s="212" t="s">
        <v>322</v>
      </c>
      <c r="B166" s="25">
        <v>7816668</v>
      </c>
      <c r="C166" s="25"/>
      <c r="D166" s="25">
        <v>8170672</v>
      </c>
      <c r="E166" s="206">
        <v>1.045</v>
      </c>
      <c r="F166" s="207">
        <v>1922999</v>
      </c>
      <c r="G166" s="212" t="s">
        <v>322</v>
      </c>
      <c r="H166" s="69">
        <v>7817</v>
      </c>
      <c r="I166" s="69">
        <v>0</v>
      </c>
      <c r="J166" s="69">
        <v>8171</v>
      </c>
      <c r="K166" s="70">
        <v>1.045</v>
      </c>
      <c r="L166" s="69">
        <v>1923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87" customFormat="1" ht="12.75">
      <c r="A167" s="165" t="s">
        <v>289</v>
      </c>
      <c r="B167" s="23">
        <v>13433787</v>
      </c>
      <c r="C167" s="23">
        <v>11540795</v>
      </c>
      <c r="D167" s="23">
        <v>9466914</v>
      </c>
      <c r="E167" s="206">
        <v>0.705</v>
      </c>
      <c r="F167" s="207">
        <v>782666</v>
      </c>
      <c r="G167" s="165" t="s">
        <v>289</v>
      </c>
      <c r="H167" s="184">
        <v>13434</v>
      </c>
      <c r="I167" s="184">
        <v>11541</v>
      </c>
      <c r="J167" s="184">
        <v>9467</v>
      </c>
      <c r="K167" s="63">
        <v>0.705</v>
      </c>
      <c r="L167" s="184">
        <v>783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115" t="s">
        <v>324</v>
      </c>
      <c r="B168" s="23">
        <v>9792787</v>
      </c>
      <c r="C168" s="23">
        <v>8574232</v>
      </c>
      <c r="D168" s="23">
        <v>7706576</v>
      </c>
      <c r="E168" s="206">
        <v>0.787</v>
      </c>
      <c r="F168" s="207">
        <v>677681</v>
      </c>
      <c r="G168" s="68" t="s">
        <v>324</v>
      </c>
      <c r="H168" s="69">
        <v>9793</v>
      </c>
      <c r="I168" s="69">
        <v>8574</v>
      </c>
      <c r="J168" s="69">
        <v>7707</v>
      </c>
      <c r="K168" s="70">
        <v>0.787</v>
      </c>
      <c r="L168" s="69">
        <v>678</v>
      </c>
    </row>
    <row r="169" spans="1:12" ht="12.75">
      <c r="A169" s="115" t="s">
        <v>326</v>
      </c>
      <c r="B169" s="23">
        <v>3641000</v>
      </c>
      <c r="C169" s="23">
        <v>2966563</v>
      </c>
      <c r="D169" s="23">
        <v>1760338</v>
      </c>
      <c r="E169" s="206">
        <v>0.483</v>
      </c>
      <c r="F169" s="207">
        <v>104985</v>
      </c>
      <c r="G169" s="68" t="s">
        <v>326</v>
      </c>
      <c r="H169" s="69">
        <v>3641</v>
      </c>
      <c r="I169" s="69">
        <v>2967</v>
      </c>
      <c r="J169" s="69">
        <v>1760</v>
      </c>
      <c r="K169" s="70">
        <v>0.483</v>
      </c>
      <c r="L169" s="69">
        <v>105</v>
      </c>
    </row>
    <row r="170" spans="1:12" ht="12.75">
      <c r="A170" s="165" t="s">
        <v>285</v>
      </c>
      <c r="B170" s="23">
        <v>-3527119</v>
      </c>
      <c r="C170" s="23">
        <v>-3010283</v>
      </c>
      <c r="D170" s="23">
        <v>439598</v>
      </c>
      <c r="E170" s="206">
        <v>-0.125</v>
      </c>
      <c r="F170" s="207">
        <v>1317620</v>
      </c>
      <c r="G170" s="165" t="s">
        <v>285</v>
      </c>
      <c r="H170" s="184">
        <v>-3527</v>
      </c>
      <c r="I170" s="184">
        <v>-3010</v>
      </c>
      <c r="J170" s="184">
        <v>440</v>
      </c>
      <c r="K170" s="63">
        <v>-0.125</v>
      </c>
      <c r="L170" s="184">
        <v>1317</v>
      </c>
    </row>
    <row r="171" spans="1:12" ht="12.75">
      <c r="A171" s="165" t="s">
        <v>286</v>
      </c>
      <c r="B171" s="23">
        <v>3441000</v>
      </c>
      <c r="C171" s="23"/>
      <c r="D171" s="23">
        <v>1072774</v>
      </c>
      <c r="E171" s="206">
        <v>0.312</v>
      </c>
      <c r="F171" s="207">
        <v>91605</v>
      </c>
      <c r="G171" s="165" t="s">
        <v>286</v>
      </c>
      <c r="H171" s="61">
        <v>3441</v>
      </c>
      <c r="I171" s="61">
        <v>0</v>
      </c>
      <c r="J171" s="61">
        <v>1073</v>
      </c>
      <c r="K171" s="63">
        <v>0.312</v>
      </c>
      <c r="L171" s="61">
        <v>92</v>
      </c>
    </row>
    <row r="172" spans="1:12" ht="12.75">
      <c r="A172" s="211" t="s">
        <v>330</v>
      </c>
      <c r="B172" s="23"/>
      <c r="C172" s="23"/>
      <c r="D172" s="23"/>
      <c r="E172" s="206" t="s">
        <v>63</v>
      </c>
      <c r="F172" s="207"/>
      <c r="G172" s="211" t="s">
        <v>330</v>
      </c>
      <c r="H172" s="184"/>
      <c r="I172" s="184"/>
      <c r="J172" s="184"/>
      <c r="K172" s="63"/>
      <c r="L172" s="184"/>
    </row>
    <row r="173" spans="1:12" ht="12.75">
      <c r="A173" s="165" t="s">
        <v>288</v>
      </c>
      <c r="B173" s="23">
        <v>137593169</v>
      </c>
      <c r="C173" s="23">
        <v>115789550</v>
      </c>
      <c r="D173" s="23">
        <v>111488653</v>
      </c>
      <c r="E173" s="206">
        <v>0.81</v>
      </c>
      <c r="F173" s="207">
        <v>10650681</v>
      </c>
      <c r="G173" s="165" t="s">
        <v>288</v>
      </c>
      <c r="H173" s="184">
        <v>137593</v>
      </c>
      <c r="I173" s="61">
        <v>115790</v>
      </c>
      <c r="J173" s="184">
        <v>111488</v>
      </c>
      <c r="K173" s="63">
        <v>0.81</v>
      </c>
      <c r="L173" s="184">
        <v>10650</v>
      </c>
    </row>
    <row r="174" spans="1:12" ht="12.75">
      <c r="A174" s="165" t="s">
        <v>331</v>
      </c>
      <c r="B174" s="23">
        <v>71125600</v>
      </c>
      <c r="C174" s="23"/>
      <c r="D174" s="23">
        <v>56102392</v>
      </c>
      <c r="E174" s="206">
        <v>0.789</v>
      </c>
      <c r="F174" s="207">
        <v>5339487</v>
      </c>
      <c r="G174" s="165" t="s">
        <v>331</v>
      </c>
      <c r="H174" s="61">
        <v>71126</v>
      </c>
      <c r="I174" s="61">
        <v>0</v>
      </c>
      <c r="J174" s="61">
        <v>56102</v>
      </c>
      <c r="K174" s="63">
        <v>0.789</v>
      </c>
      <c r="L174" s="61">
        <v>5339</v>
      </c>
    </row>
    <row r="175" spans="1:12" ht="12.75">
      <c r="A175" s="165" t="s">
        <v>332</v>
      </c>
      <c r="B175" s="23">
        <v>55986569</v>
      </c>
      <c r="C175" s="23"/>
      <c r="D175" s="23">
        <v>48125224</v>
      </c>
      <c r="E175" s="206">
        <v>0.86</v>
      </c>
      <c r="F175" s="207">
        <v>5172941</v>
      </c>
      <c r="G175" s="165" t="s">
        <v>332</v>
      </c>
      <c r="H175" s="61">
        <v>55986</v>
      </c>
      <c r="I175" s="61">
        <v>0</v>
      </c>
      <c r="J175" s="61">
        <v>48125</v>
      </c>
      <c r="K175" s="63">
        <v>0.86</v>
      </c>
      <c r="L175" s="61">
        <v>5173</v>
      </c>
    </row>
    <row r="176" spans="1:12" ht="12.75">
      <c r="A176" s="165" t="s">
        <v>229</v>
      </c>
      <c r="B176" s="23">
        <v>10481000</v>
      </c>
      <c r="C176" s="23"/>
      <c r="D176" s="23">
        <v>7261037</v>
      </c>
      <c r="E176" s="206">
        <v>0.693</v>
      </c>
      <c r="F176" s="207">
        <v>138253</v>
      </c>
      <c r="G176" s="165" t="s">
        <v>229</v>
      </c>
      <c r="H176" s="61">
        <v>10481</v>
      </c>
      <c r="I176" s="61">
        <v>0</v>
      </c>
      <c r="J176" s="61">
        <v>7261</v>
      </c>
      <c r="K176" s="63">
        <v>0.693</v>
      </c>
      <c r="L176" s="61">
        <v>138</v>
      </c>
    </row>
    <row r="177" spans="1:12" ht="12.75">
      <c r="A177" s="165" t="s">
        <v>289</v>
      </c>
      <c r="B177" s="23">
        <v>143111169</v>
      </c>
      <c r="C177" s="23">
        <v>119930720</v>
      </c>
      <c r="D177" s="23">
        <v>112760294</v>
      </c>
      <c r="E177" s="206">
        <v>0.788</v>
      </c>
      <c r="F177" s="207">
        <v>11788996</v>
      </c>
      <c r="G177" s="165" t="s">
        <v>289</v>
      </c>
      <c r="H177" s="184">
        <v>143111</v>
      </c>
      <c r="I177" s="184">
        <v>119931</v>
      </c>
      <c r="J177" s="184">
        <v>112760</v>
      </c>
      <c r="K177" s="63">
        <v>0.788</v>
      </c>
      <c r="L177" s="184">
        <v>11788</v>
      </c>
    </row>
    <row r="178" spans="1:12" ht="12.75">
      <c r="A178" s="115" t="s">
        <v>281</v>
      </c>
      <c r="B178" s="23">
        <v>135855869</v>
      </c>
      <c r="C178" s="23">
        <v>114133758</v>
      </c>
      <c r="D178" s="23">
        <v>108920279</v>
      </c>
      <c r="E178" s="206">
        <v>0.802</v>
      </c>
      <c r="F178" s="207">
        <v>10773736</v>
      </c>
      <c r="G178" s="115" t="s">
        <v>281</v>
      </c>
      <c r="H178" s="61">
        <v>135856</v>
      </c>
      <c r="I178" s="61">
        <v>114134</v>
      </c>
      <c r="J178" s="61">
        <v>108920</v>
      </c>
      <c r="K178" s="63">
        <v>0.802</v>
      </c>
      <c r="L178" s="61">
        <v>10773</v>
      </c>
    </row>
    <row r="179" spans="1:12" ht="12.75">
      <c r="A179" s="165" t="s">
        <v>282</v>
      </c>
      <c r="B179" s="23">
        <v>7255300</v>
      </c>
      <c r="C179" s="23">
        <v>5796962</v>
      </c>
      <c r="D179" s="23">
        <v>3840015</v>
      </c>
      <c r="E179" s="206">
        <v>0.529</v>
      </c>
      <c r="F179" s="207">
        <v>1015260</v>
      </c>
      <c r="G179" s="165" t="s">
        <v>282</v>
      </c>
      <c r="H179" s="61">
        <v>7255</v>
      </c>
      <c r="I179" s="61">
        <v>5797</v>
      </c>
      <c r="J179" s="61">
        <v>3840</v>
      </c>
      <c r="K179" s="63">
        <v>0.529</v>
      </c>
      <c r="L179" s="61">
        <v>1015</v>
      </c>
    </row>
    <row r="180" spans="1:12" ht="12.75">
      <c r="A180" s="165" t="s">
        <v>285</v>
      </c>
      <c r="B180" s="23">
        <v>-5518000</v>
      </c>
      <c r="C180" s="23">
        <v>-4141170</v>
      </c>
      <c r="D180" s="23">
        <v>-1271641</v>
      </c>
      <c r="E180" s="206">
        <v>0.23</v>
      </c>
      <c r="F180" s="207">
        <v>-1138315</v>
      </c>
      <c r="G180" s="165" t="s">
        <v>285</v>
      </c>
      <c r="H180" s="184">
        <v>-5518</v>
      </c>
      <c r="I180" s="184">
        <v>-4141</v>
      </c>
      <c r="J180" s="184">
        <v>-1272</v>
      </c>
      <c r="K180" s="63">
        <v>0.231</v>
      </c>
      <c r="L180" s="184">
        <v>-1138</v>
      </c>
    </row>
    <row r="181" spans="1:12" ht="12.75">
      <c r="A181" s="165" t="s">
        <v>286</v>
      </c>
      <c r="B181" s="23">
        <v>5018000</v>
      </c>
      <c r="C181" s="23"/>
      <c r="D181" s="23">
        <v>2645441</v>
      </c>
      <c r="E181" s="206">
        <v>0.527</v>
      </c>
      <c r="F181" s="207">
        <v>905210</v>
      </c>
      <c r="G181" s="165" t="s">
        <v>286</v>
      </c>
      <c r="H181" s="61">
        <v>5018</v>
      </c>
      <c r="I181" s="184">
        <v>4141</v>
      </c>
      <c r="J181" s="61">
        <v>2645</v>
      </c>
      <c r="K181" s="63"/>
      <c r="L181" s="61">
        <v>905</v>
      </c>
    </row>
    <row r="182" spans="1:12" ht="30" customHeight="1">
      <c r="A182" s="74" t="s">
        <v>201</v>
      </c>
      <c r="B182" s="6"/>
      <c r="C182" s="6"/>
      <c r="D182" s="6"/>
      <c r="E182" s="206" t="s">
        <v>63</v>
      </c>
      <c r="F182" s="202"/>
      <c r="G182" s="74" t="s">
        <v>201</v>
      </c>
      <c r="H182" s="210"/>
      <c r="I182" s="210"/>
      <c r="J182" s="210"/>
      <c r="K182" s="63"/>
      <c r="L182" s="210"/>
    </row>
    <row r="183" spans="1:12" ht="15" customHeight="1">
      <c r="A183" s="211" t="s">
        <v>333</v>
      </c>
      <c r="B183" s="23"/>
      <c r="C183" s="23"/>
      <c r="D183" s="23"/>
      <c r="E183" s="206" t="s">
        <v>63</v>
      </c>
      <c r="F183" s="207"/>
      <c r="G183" s="211" t="s">
        <v>333</v>
      </c>
      <c r="H183" s="184"/>
      <c r="I183" s="184"/>
      <c r="J183" s="184"/>
      <c r="K183" s="63"/>
      <c r="L183" s="184"/>
    </row>
    <row r="184" spans="1:12" ht="12.75">
      <c r="A184" s="165" t="s">
        <v>288</v>
      </c>
      <c r="B184" s="23">
        <v>8837000</v>
      </c>
      <c r="C184" s="23">
        <v>8269920</v>
      </c>
      <c r="D184" s="23">
        <v>5524628</v>
      </c>
      <c r="E184" s="206">
        <v>0.625</v>
      </c>
      <c r="F184" s="207">
        <v>694741</v>
      </c>
      <c r="G184" s="165" t="s">
        <v>288</v>
      </c>
      <c r="H184" s="184">
        <v>8837</v>
      </c>
      <c r="I184" s="61">
        <v>8270</v>
      </c>
      <c r="J184" s="184">
        <v>5524</v>
      </c>
      <c r="K184" s="63">
        <v>0.625</v>
      </c>
      <c r="L184" s="184">
        <v>694</v>
      </c>
    </row>
    <row r="185" spans="1:12" ht="12.75">
      <c r="A185" s="165" t="s">
        <v>334</v>
      </c>
      <c r="B185" s="23">
        <v>8245000</v>
      </c>
      <c r="C185" s="23"/>
      <c r="D185" s="23">
        <v>5169927</v>
      </c>
      <c r="E185" s="206">
        <v>0.627</v>
      </c>
      <c r="F185" s="207">
        <v>519024</v>
      </c>
      <c r="G185" s="165" t="s">
        <v>334</v>
      </c>
      <c r="H185" s="61">
        <v>8245</v>
      </c>
      <c r="I185" s="61">
        <v>0</v>
      </c>
      <c r="J185" s="61">
        <v>5170</v>
      </c>
      <c r="K185" s="63">
        <v>0.627</v>
      </c>
      <c r="L185" s="61">
        <v>519</v>
      </c>
    </row>
    <row r="186" spans="1:12" ht="12.75">
      <c r="A186" s="165" t="s">
        <v>335</v>
      </c>
      <c r="B186" s="23">
        <v>300000</v>
      </c>
      <c r="C186" s="23"/>
      <c r="D186" s="23">
        <v>157301</v>
      </c>
      <c r="E186" s="206">
        <v>0.524</v>
      </c>
      <c r="F186" s="207">
        <v>157301</v>
      </c>
      <c r="G186" s="165" t="s">
        <v>335</v>
      </c>
      <c r="H186" s="61">
        <v>300</v>
      </c>
      <c r="I186" s="61">
        <v>0</v>
      </c>
      <c r="J186" s="61">
        <v>157</v>
      </c>
      <c r="K186" s="63">
        <v>0.523</v>
      </c>
      <c r="L186" s="61">
        <v>157</v>
      </c>
    </row>
    <row r="187" spans="1:12" ht="12.75">
      <c r="A187" s="165" t="s">
        <v>229</v>
      </c>
      <c r="B187" s="23">
        <v>292000</v>
      </c>
      <c r="C187" s="23"/>
      <c r="D187" s="23">
        <v>197400</v>
      </c>
      <c r="E187" s="206">
        <v>0.676</v>
      </c>
      <c r="F187" s="207">
        <v>18416</v>
      </c>
      <c r="G187" s="165" t="s">
        <v>229</v>
      </c>
      <c r="H187" s="61">
        <v>292</v>
      </c>
      <c r="I187" s="61">
        <v>0</v>
      </c>
      <c r="J187" s="61">
        <v>197</v>
      </c>
      <c r="K187" s="63">
        <v>0.675</v>
      </c>
      <c r="L187" s="61">
        <v>18</v>
      </c>
    </row>
    <row r="188" spans="1:12" ht="12.75">
      <c r="A188" s="165" t="s">
        <v>289</v>
      </c>
      <c r="B188" s="23">
        <v>7808770</v>
      </c>
      <c r="C188" s="23">
        <v>7583275</v>
      </c>
      <c r="D188" s="23">
        <v>5791775</v>
      </c>
      <c r="E188" s="206">
        <v>0.742</v>
      </c>
      <c r="F188" s="207">
        <v>652564</v>
      </c>
      <c r="G188" s="165" t="s">
        <v>289</v>
      </c>
      <c r="H188" s="184">
        <v>7808</v>
      </c>
      <c r="I188" s="184">
        <v>7583</v>
      </c>
      <c r="J188" s="184">
        <v>5792</v>
      </c>
      <c r="K188" s="63">
        <v>0.742</v>
      </c>
      <c r="L188" s="184">
        <v>653</v>
      </c>
    </row>
    <row r="189" spans="1:12" ht="12.75">
      <c r="A189" s="165" t="s">
        <v>281</v>
      </c>
      <c r="B189" s="23">
        <v>5934415</v>
      </c>
      <c r="C189" s="23">
        <v>5759170</v>
      </c>
      <c r="D189" s="23">
        <v>5105220</v>
      </c>
      <c r="E189" s="206">
        <v>0.86</v>
      </c>
      <c r="F189" s="207">
        <v>892850</v>
      </c>
      <c r="G189" s="165" t="s">
        <v>281</v>
      </c>
      <c r="H189" s="61">
        <v>5934</v>
      </c>
      <c r="I189" s="61">
        <v>5759</v>
      </c>
      <c r="J189" s="61">
        <v>5105</v>
      </c>
      <c r="K189" s="63">
        <v>0.86</v>
      </c>
      <c r="L189" s="61">
        <v>893</v>
      </c>
    </row>
    <row r="190" spans="1:12" ht="12.75">
      <c r="A190" s="165" t="s">
        <v>282</v>
      </c>
      <c r="B190" s="23">
        <v>1874355</v>
      </c>
      <c r="C190" s="23">
        <v>1824105</v>
      </c>
      <c r="D190" s="23">
        <v>686555</v>
      </c>
      <c r="E190" s="206">
        <v>0.366</v>
      </c>
      <c r="F190" s="207">
        <v>-240286</v>
      </c>
      <c r="G190" s="165" t="s">
        <v>282</v>
      </c>
      <c r="H190" s="61">
        <v>1874</v>
      </c>
      <c r="I190" s="61">
        <v>1824</v>
      </c>
      <c r="J190" s="61">
        <v>687</v>
      </c>
      <c r="K190" s="63">
        <v>0.367</v>
      </c>
      <c r="L190" s="61">
        <v>-240</v>
      </c>
    </row>
    <row r="191" spans="1:12" ht="16.5" customHeight="1">
      <c r="A191" s="211" t="s">
        <v>336</v>
      </c>
      <c r="B191" s="23"/>
      <c r="C191" s="23"/>
      <c r="D191" s="23"/>
      <c r="E191" s="206" t="s">
        <v>63</v>
      </c>
      <c r="F191" s="207"/>
      <c r="G191" s="211" t="s">
        <v>336</v>
      </c>
      <c r="H191" s="184"/>
      <c r="I191" s="184"/>
      <c r="J191" s="184"/>
      <c r="K191" s="63"/>
      <c r="L191" s="184"/>
    </row>
    <row r="192" spans="1:12" ht="12.75">
      <c r="A192" s="165" t="s">
        <v>288</v>
      </c>
      <c r="B192" s="23">
        <v>1450000</v>
      </c>
      <c r="C192" s="23">
        <v>1450000</v>
      </c>
      <c r="D192" s="23">
        <v>1462500</v>
      </c>
      <c r="E192" s="206">
        <v>1.009</v>
      </c>
      <c r="F192" s="207">
        <v>0</v>
      </c>
      <c r="G192" s="165" t="s">
        <v>288</v>
      </c>
      <c r="H192" s="61">
        <v>1450</v>
      </c>
      <c r="I192" s="61">
        <v>1450</v>
      </c>
      <c r="J192" s="61">
        <v>1463</v>
      </c>
      <c r="K192" s="63">
        <v>1.009</v>
      </c>
      <c r="L192" s="61">
        <v>0</v>
      </c>
    </row>
    <row r="193" spans="1:12" ht="12.75">
      <c r="A193" s="165" t="s">
        <v>289</v>
      </c>
      <c r="B193" s="23">
        <v>1450000</v>
      </c>
      <c r="C193" s="23">
        <v>1450000</v>
      </c>
      <c r="D193" s="23">
        <v>1391215</v>
      </c>
      <c r="E193" s="206">
        <v>0.959</v>
      </c>
      <c r="F193" s="207">
        <v>9452</v>
      </c>
      <c r="G193" s="165" t="s">
        <v>289</v>
      </c>
      <c r="H193" s="184">
        <v>1450</v>
      </c>
      <c r="I193" s="184">
        <v>1450</v>
      </c>
      <c r="J193" s="184">
        <v>1391</v>
      </c>
      <c r="K193" s="63">
        <v>0.959</v>
      </c>
      <c r="L193" s="184">
        <v>9</v>
      </c>
    </row>
    <row r="194" spans="1:12" ht="12.75">
      <c r="A194" s="165" t="s">
        <v>281</v>
      </c>
      <c r="B194" s="23">
        <v>45000</v>
      </c>
      <c r="C194" s="23">
        <v>45000</v>
      </c>
      <c r="D194" s="23">
        <v>37739</v>
      </c>
      <c r="E194" s="206">
        <v>0.839</v>
      </c>
      <c r="F194" s="207">
        <v>4530</v>
      </c>
      <c r="G194" s="165" t="s">
        <v>281</v>
      </c>
      <c r="H194" s="61">
        <v>45</v>
      </c>
      <c r="I194" s="61">
        <v>45</v>
      </c>
      <c r="J194" s="61">
        <v>38</v>
      </c>
      <c r="K194" s="63">
        <v>0.844</v>
      </c>
      <c r="L194" s="61">
        <v>5</v>
      </c>
    </row>
    <row r="195" spans="1:12" ht="12.75">
      <c r="A195" s="165" t="s">
        <v>282</v>
      </c>
      <c r="B195" s="23">
        <v>1405000</v>
      </c>
      <c r="C195" s="23">
        <v>1405000</v>
      </c>
      <c r="D195" s="23">
        <v>1353476</v>
      </c>
      <c r="E195" s="206">
        <v>0.963</v>
      </c>
      <c r="F195" s="207">
        <v>4922</v>
      </c>
      <c r="G195" s="165" t="s">
        <v>282</v>
      </c>
      <c r="H195" s="61">
        <v>1405</v>
      </c>
      <c r="I195" s="61">
        <v>1405</v>
      </c>
      <c r="J195" s="61">
        <v>1353</v>
      </c>
      <c r="K195" s="63">
        <v>0.963</v>
      </c>
      <c r="L195" s="61">
        <v>4</v>
      </c>
    </row>
    <row r="196" spans="1:12" ht="16.5" customHeight="1">
      <c r="A196" s="30" t="s">
        <v>202</v>
      </c>
      <c r="B196" s="6"/>
      <c r="C196" s="6"/>
      <c r="D196" s="6"/>
      <c r="E196" s="206" t="s">
        <v>63</v>
      </c>
      <c r="F196" s="202"/>
      <c r="G196" s="30" t="s">
        <v>202</v>
      </c>
      <c r="H196" s="210"/>
      <c r="I196" s="210"/>
      <c r="J196" s="210"/>
      <c r="K196" s="63"/>
      <c r="L196" s="210"/>
    </row>
    <row r="197" spans="1:12" ht="15" customHeight="1">
      <c r="A197" s="211" t="s">
        <v>337</v>
      </c>
      <c r="B197" s="23"/>
      <c r="C197" s="23"/>
      <c r="D197" s="23"/>
      <c r="E197" s="206" t="s">
        <v>63</v>
      </c>
      <c r="F197" s="207"/>
      <c r="G197" s="211" t="s">
        <v>337</v>
      </c>
      <c r="H197" s="184"/>
      <c r="I197" s="184"/>
      <c r="J197" s="184"/>
      <c r="K197" s="63"/>
      <c r="L197" s="184"/>
    </row>
    <row r="198" spans="1:12" ht="12.75">
      <c r="A198" s="165" t="s">
        <v>288</v>
      </c>
      <c r="B198" s="23">
        <v>2400000</v>
      </c>
      <c r="C198" s="23">
        <v>2100000</v>
      </c>
      <c r="D198" s="23">
        <v>1895562</v>
      </c>
      <c r="E198" s="206">
        <v>0.79</v>
      </c>
      <c r="F198" s="207">
        <v>313781</v>
      </c>
      <c r="G198" s="165" t="s">
        <v>288</v>
      </c>
      <c r="H198" s="184">
        <v>2400</v>
      </c>
      <c r="I198" s="61">
        <v>2100</v>
      </c>
      <c r="J198" s="184">
        <v>1896</v>
      </c>
      <c r="K198" s="63">
        <v>0.79</v>
      </c>
      <c r="L198" s="184">
        <v>314</v>
      </c>
    </row>
    <row r="199" spans="1:12" ht="22.5">
      <c r="A199" s="115" t="s">
        <v>338</v>
      </c>
      <c r="B199" s="23">
        <v>2032476</v>
      </c>
      <c r="C199" s="23"/>
      <c r="D199" s="23">
        <v>1527562</v>
      </c>
      <c r="E199" s="206">
        <v>0.752</v>
      </c>
      <c r="F199" s="207">
        <v>-54219</v>
      </c>
      <c r="G199" s="115" t="s">
        <v>338</v>
      </c>
      <c r="H199" s="61">
        <v>2032</v>
      </c>
      <c r="I199" s="61">
        <v>0</v>
      </c>
      <c r="J199" s="61">
        <v>1528</v>
      </c>
      <c r="K199" s="63">
        <v>0.752</v>
      </c>
      <c r="L199" s="61">
        <v>-54</v>
      </c>
    </row>
    <row r="200" spans="1:12" ht="12.75">
      <c r="A200" s="165" t="s">
        <v>332</v>
      </c>
      <c r="B200" s="23">
        <v>367524</v>
      </c>
      <c r="C200" s="23"/>
      <c r="D200" s="23">
        <v>368000</v>
      </c>
      <c r="E200" s="206">
        <v>1.001</v>
      </c>
      <c r="F200" s="207">
        <v>368000</v>
      </c>
      <c r="G200" s="165" t="s">
        <v>332</v>
      </c>
      <c r="H200" s="61">
        <v>368</v>
      </c>
      <c r="I200" s="61">
        <v>0</v>
      </c>
      <c r="J200" s="61">
        <v>368</v>
      </c>
      <c r="K200" s="63">
        <v>1</v>
      </c>
      <c r="L200" s="61">
        <v>368</v>
      </c>
    </row>
    <row r="201" spans="1:12" ht="12.75">
      <c r="A201" s="165" t="s">
        <v>289</v>
      </c>
      <c r="B201" s="23">
        <v>2750000</v>
      </c>
      <c r="C201" s="23">
        <v>2450000</v>
      </c>
      <c r="D201" s="23">
        <v>2450000</v>
      </c>
      <c r="E201" s="206">
        <v>0.891</v>
      </c>
      <c r="F201" s="207">
        <v>227000</v>
      </c>
      <c r="G201" s="165" t="s">
        <v>289</v>
      </c>
      <c r="H201" s="184">
        <v>2750</v>
      </c>
      <c r="I201" s="184">
        <v>2450</v>
      </c>
      <c r="J201" s="184">
        <v>2450</v>
      </c>
      <c r="K201" s="63">
        <v>0.891</v>
      </c>
      <c r="L201" s="184">
        <v>227</v>
      </c>
    </row>
    <row r="202" spans="1:12" ht="12.75">
      <c r="A202" s="165" t="s">
        <v>281</v>
      </c>
      <c r="B202" s="23">
        <v>2750000</v>
      </c>
      <c r="C202" s="23">
        <v>2450000</v>
      </c>
      <c r="D202" s="23">
        <v>2450000</v>
      </c>
      <c r="E202" s="206">
        <v>0.891</v>
      </c>
      <c r="F202" s="207">
        <v>227000</v>
      </c>
      <c r="G202" s="165" t="s">
        <v>281</v>
      </c>
      <c r="H202" s="61">
        <v>2750</v>
      </c>
      <c r="I202" s="61">
        <v>2450</v>
      </c>
      <c r="J202" s="61">
        <v>2450</v>
      </c>
      <c r="K202" s="63">
        <v>0.891</v>
      </c>
      <c r="L202" s="61">
        <v>227</v>
      </c>
    </row>
    <row r="203" spans="1:12" ht="15.75" customHeight="1">
      <c r="A203" s="30" t="s">
        <v>211</v>
      </c>
      <c r="B203" s="6"/>
      <c r="C203" s="6"/>
      <c r="D203" s="6"/>
      <c r="E203" s="206" t="s">
        <v>63</v>
      </c>
      <c r="F203" s="202"/>
      <c r="G203" s="30" t="s">
        <v>211</v>
      </c>
      <c r="H203" s="210"/>
      <c r="I203" s="210"/>
      <c r="J203" s="210"/>
      <c r="K203" s="63"/>
      <c r="L203" s="210"/>
    </row>
    <row r="204" spans="1:12" ht="12.75">
      <c r="A204" s="165" t="s">
        <v>288</v>
      </c>
      <c r="B204" s="23">
        <v>105000</v>
      </c>
      <c r="C204" s="23">
        <v>104400</v>
      </c>
      <c r="D204" s="23">
        <v>87020</v>
      </c>
      <c r="E204" s="206">
        <v>0.829</v>
      </c>
      <c r="F204" s="207">
        <v>13044</v>
      </c>
      <c r="G204" s="165" t="s">
        <v>288</v>
      </c>
      <c r="H204" s="184">
        <v>105</v>
      </c>
      <c r="I204" s="61">
        <v>104</v>
      </c>
      <c r="J204" s="61">
        <v>87</v>
      </c>
      <c r="K204" s="63">
        <v>0.829</v>
      </c>
      <c r="L204" s="184">
        <v>13</v>
      </c>
    </row>
    <row r="205" spans="1:12" ht="12.75">
      <c r="A205" s="165" t="s">
        <v>339</v>
      </c>
      <c r="B205" s="23">
        <v>101000</v>
      </c>
      <c r="C205" s="23"/>
      <c r="D205" s="23">
        <v>12465</v>
      </c>
      <c r="E205" s="206">
        <v>0.123</v>
      </c>
      <c r="F205" s="207">
        <v>-41325</v>
      </c>
      <c r="G205" s="165" t="s">
        <v>339</v>
      </c>
      <c r="H205" s="61">
        <v>101</v>
      </c>
      <c r="I205" s="61">
        <v>0</v>
      </c>
      <c r="J205" s="61">
        <v>12</v>
      </c>
      <c r="K205" s="63">
        <v>0.119</v>
      </c>
      <c r="L205" s="61">
        <v>-42</v>
      </c>
    </row>
    <row r="206" spans="1:33" s="60" customFormat="1" ht="12.75">
      <c r="A206" s="165" t="s">
        <v>340</v>
      </c>
      <c r="B206" s="165">
        <v>4000</v>
      </c>
      <c r="C206" s="165"/>
      <c r="D206" s="165">
        <v>74555</v>
      </c>
      <c r="E206" s="206">
        <v>18.639</v>
      </c>
      <c r="F206" s="207">
        <v>54369</v>
      </c>
      <c r="G206" s="165" t="s">
        <v>340</v>
      </c>
      <c r="H206" s="61">
        <v>4</v>
      </c>
      <c r="I206" s="61">
        <v>0</v>
      </c>
      <c r="J206" s="61">
        <v>75</v>
      </c>
      <c r="K206" s="63">
        <v>18.75</v>
      </c>
      <c r="L206" s="61">
        <v>55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60" customFormat="1" ht="12.75">
      <c r="A207" s="165" t="s">
        <v>289</v>
      </c>
      <c r="B207" s="23">
        <v>105000</v>
      </c>
      <c r="C207" s="23">
        <v>104449</v>
      </c>
      <c r="D207" s="23">
        <v>92712</v>
      </c>
      <c r="E207" s="206">
        <v>0.883</v>
      </c>
      <c r="F207" s="207">
        <v>89</v>
      </c>
      <c r="G207" s="165" t="s">
        <v>289</v>
      </c>
      <c r="H207" s="184">
        <v>105</v>
      </c>
      <c r="I207" s="184">
        <v>104</v>
      </c>
      <c r="J207" s="184">
        <v>93</v>
      </c>
      <c r="K207" s="63">
        <v>0.886</v>
      </c>
      <c r="L207" s="184">
        <v>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165" t="s">
        <v>281</v>
      </c>
      <c r="B208" s="23">
        <v>102000</v>
      </c>
      <c r="C208" s="23">
        <v>101449</v>
      </c>
      <c r="D208" s="23">
        <v>91962</v>
      </c>
      <c r="E208" s="206">
        <v>0.902</v>
      </c>
      <c r="F208" s="207">
        <v>89</v>
      </c>
      <c r="G208" s="165" t="s">
        <v>281</v>
      </c>
      <c r="H208" s="61">
        <v>102</v>
      </c>
      <c r="I208" s="61">
        <v>101</v>
      </c>
      <c r="J208" s="61">
        <v>92</v>
      </c>
      <c r="K208" s="63">
        <v>0.902</v>
      </c>
      <c r="L208" s="61">
        <v>0</v>
      </c>
    </row>
    <row r="209" spans="1:12" ht="12.75">
      <c r="A209" s="165" t="s">
        <v>282</v>
      </c>
      <c r="B209" s="23">
        <v>3000</v>
      </c>
      <c r="C209" s="23">
        <v>3000</v>
      </c>
      <c r="D209" s="23">
        <v>750</v>
      </c>
      <c r="E209" s="206">
        <v>0.25</v>
      </c>
      <c r="F209" s="207"/>
      <c r="G209" s="165" t="s">
        <v>282</v>
      </c>
      <c r="H209" s="61">
        <v>3</v>
      </c>
      <c r="I209" s="61">
        <v>3</v>
      </c>
      <c r="J209" s="61">
        <v>1</v>
      </c>
      <c r="K209" s="63">
        <v>0.333</v>
      </c>
      <c r="L209" s="61">
        <v>0</v>
      </c>
    </row>
    <row r="210" spans="1:33" s="60" customFormat="1" ht="27" customHeight="1">
      <c r="A210" s="74" t="s">
        <v>341</v>
      </c>
      <c r="B210" s="165"/>
      <c r="C210" s="165"/>
      <c r="D210" s="165"/>
      <c r="E210" s="206" t="s">
        <v>63</v>
      </c>
      <c r="F210" s="222"/>
      <c r="G210" s="74" t="s">
        <v>341</v>
      </c>
      <c r="H210" s="184"/>
      <c r="I210" s="184"/>
      <c r="J210" s="184"/>
      <c r="K210" s="63"/>
      <c r="L210" s="18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60" customFormat="1" ht="12.75">
      <c r="A211" s="165" t="s">
        <v>288</v>
      </c>
      <c r="B211" s="165">
        <v>69988</v>
      </c>
      <c r="C211" s="165">
        <v>54434</v>
      </c>
      <c r="D211" s="165">
        <v>57275</v>
      </c>
      <c r="E211" s="206">
        <v>0.818</v>
      </c>
      <c r="F211" s="222">
        <v>251</v>
      </c>
      <c r="G211" s="165" t="s">
        <v>288</v>
      </c>
      <c r="H211" s="184">
        <v>70</v>
      </c>
      <c r="I211" s="61">
        <v>54</v>
      </c>
      <c r="J211" s="184">
        <v>57</v>
      </c>
      <c r="K211" s="63">
        <v>0.814</v>
      </c>
      <c r="L211" s="184"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60" customFormat="1" ht="15.75" customHeight="1">
      <c r="A212" s="115" t="s">
        <v>342</v>
      </c>
      <c r="B212" s="165">
        <v>69988</v>
      </c>
      <c r="C212" s="165"/>
      <c r="D212" s="165">
        <v>57275</v>
      </c>
      <c r="E212" s="206">
        <v>0.818</v>
      </c>
      <c r="F212" s="207">
        <v>251</v>
      </c>
      <c r="G212" s="115" t="s">
        <v>342</v>
      </c>
      <c r="H212" s="61">
        <v>70</v>
      </c>
      <c r="I212" s="61">
        <v>0</v>
      </c>
      <c r="J212" s="61">
        <v>57</v>
      </c>
      <c r="K212" s="63">
        <v>0.814</v>
      </c>
      <c r="L212" s="61"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165" t="s">
        <v>289</v>
      </c>
      <c r="B213" s="23">
        <v>122568</v>
      </c>
      <c r="C213" s="23">
        <v>98109</v>
      </c>
      <c r="D213" s="23">
        <v>28881</v>
      </c>
      <c r="E213" s="206">
        <v>0.236</v>
      </c>
      <c r="F213" s="207">
        <v>9946</v>
      </c>
      <c r="G213" s="165" t="s">
        <v>289</v>
      </c>
      <c r="H213" s="184">
        <v>122</v>
      </c>
      <c r="I213" s="184">
        <v>98</v>
      </c>
      <c r="J213" s="184">
        <v>29</v>
      </c>
      <c r="K213" s="63">
        <v>0.238</v>
      </c>
      <c r="L213" s="184">
        <v>10</v>
      </c>
    </row>
    <row r="214" spans="1:12" ht="12.75">
      <c r="A214" s="165" t="s">
        <v>281</v>
      </c>
      <c r="B214" s="23">
        <v>114433</v>
      </c>
      <c r="C214" s="23">
        <v>91781</v>
      </c>
      <c r="D214" s="23">
        <v>23536</v>
      </c>
      <c r="E214" s="206">
        <v>0.206</v>
      </c>
      <c r="F214" s="207">
        <v>9907</v>
      </c>
      <c r="G214" s="165" t="s">
        <v>281</v>
      </c>
      <c r="H214" s="61">
        <v>114</v>
      </c>
      <c r="I214" s="61">
        <v>92</v>
      </c>
      <c r="J214" s="61">
        <v>24</v>
      </c>
      <c r="K214" s="63">
        <v>0.211</v>
      </c>
      <c r="L214" s="61">
        <v>10</v>
      </c>
    </row>
    <row r="215" spans="1:12" ht="12.75">
      <c r="A215" s="165" t="s">
        <v>282</v>
      </c>
      <c r="B215" s="23">
        <v>8135</v>
      </c>
      <c r="C215" s="23">
        <v>6328</v>
      </c>
      <c r="D215" s="23">
        <v>5345</v>
      </c>
      <c r="E215" s="206">
        <v>0.657</v>
      </c>
      <c r="F215" s="207">
        <v>39</v>
      </c>
      <c r="G215" s="165" t="s">
        <v>282</v>
      </c>
      <c r="H215" s="61">
        <v>8</v>
      </c>
      <c r="I215" s="61">
        <v>6</v>
      </c>
      <c r="J215" s="61">
        <v>5</v>
      </c>
      <c r="K215" s="63">
        <v>0.625</v>
      </c>
      <c r="L215" s="61">
        <v>0</v>
      </c>
    </row>
    <row r="216" spans="1:12" ht="12.75">
      <c r="A216" s="165" t="s">
        <v>285</v>
      </c>
      <c r="B216" s="23">
        <v>-52580</v>
      </c>
      <c r="C216" s="23">
        <v>-43675</v>
      </c>
      <c r="D216" s="23">
        <v>28394</v>
      </c>
      <c r="E216" s="206">
        <v>-0.54</v>
      </c>
      <c r="F216" s="207">
        <v>-9695</v>
      </c>
      <c r="G216" s="165" t="s">
        <v>285</v>
      </c>
      <c r="H216" s="184">
        <v>-52</v>
      </c>
      <c r="I216" s="184">
        <v>-44</v>
      </c>
      <c r="J216" s="184">
        <v>28</v>
      </c>
      <c r="K216" s="63">
        <v>-0.538</v>
      </c>
      <c r="L216" s="184">
        <v>-10</v>
      </c>
    </row>
    <row r="217" spans="1:12" ht="12.75">
      <c r="A217" s="165" t="s">
        <v>286</v>
      </c>
      <c r="B217" s="23">
        <v>52580</v>
      </c>
      <c r="C217" s="23"/>
      <c r="D217" s="23"/>
      <c r="E217" s="206">
        <v>0</v>
      </c>
      <c r="F217" s="207">
        <v>9695</v>
      </c>
      <c r="G217" s="165" t="s">
        <v>286</v>
      </c>
      <c r="H217" s="184">
        <v>52</v>
      </c>
      <c r="I217" s="184"/>
      <c r="J217" s="184"/>
      <c r="K217" s="63"/>
      <c r="L217" s="184"/>
    </row>
    <row r="218" spans="1:12" ht="14.25">
      <c r="A218" s="223"/>
      <c r="B218" s="224"/>
      <c r="C218" s="224"/>
      <c r="D218" s="224"/>
      <c r="E218" s="224"/>
      <c r="G218" s="223"/>
      <c r="H218" s="224"/>
      <c r="I218" s="224"/>
      <c r="J218" s="224"/>
      <c r="K218" s="224"/>
      <c r="L218" s="79"/>
    </row>
    <row r="219" spans="1:12" ht="14.25">
      <c r="A219" s="223"/>
      <c r="B219" s="224"/>
      <c r="C219" s="224"/>
      <c r="D219" s="224"/>
      <c r="E219" s="224"/>
      <c r="G219" s="223"/>
      <c r="H219" s="224"/>
      <c r="I219" s="224"/>
      <c r="J219" s="224"/>
      <c r="K219" s="224"/>
      <c r="L219" s="198"/>
    </row>
    <row r="220" spans="1:12" ht="12.75">
      <c r="A220" s="79"/>
      <c r="B220" s="224"/>
      <c r="C220" s="224"/>
      <c r="D220" s="224"/>
      <c r="E220" s="224"/>
      <c r="G220" s="79"/>
      <c r="H220" s="224"/>
      <c r="I220" s="224"/>
      <c r="J220" s="224"/>
      <c r="K220" s="224"/>
      <c r="L220" s="198"/>
    </row>
    <row r="221" spans="1:12" ht="12.75">
      <c r="A221" s="81" t="s">
        <v>343</v>
      </c>
      <c r="B221" s="84"/>
      <c r="C221" s="84"/>
      <c r="D221" s="84"/>
      <c r="E221" s="82"/>
      <c r="G221" s="81"/>
      <c r="H221" s="84"/>
      <c r="I221" s="84"/>
      <c r="J221" s="84"/>
      <c r="K221" s="82"/>
      <c r="L221" s="198"/>
    </row>
    <row r="222" spans="1:12" ht="12.75">
      <c r="A222" s="225"/>
      <c r="B222" s="225"/>
      <c r="C222" s="225"/>
      <c r="D222" s="225"/>
      <c r="E222" s="31"/>
      <c r="G222" s="225"/>
      <c r="H222" s="225"/>
      <c r="I222" s="225"/>
      <c r="J222" s="225"/>
      <c r="K222" s="31"/>
      <c r="L222" s="198"/>
    </row>
    <row r="223" spans="1:12" ht="12.75">
      <c r="A223" s="225"/>
      <c r="B223" s="225"/>
      <c r="C223" s="225"/>
      <c r="D223" s="225"/>
      <c r="E223" s="31"/>
      <c r="G223" s="225"/>
      <c r="H223" s="225"/>
      <c r="I223" s="225"/>
      <c r="J223" s="225"/>
      <c r="K223" s="31"/>
      <c r="L223" s="198"/>
    </row>
    <row r="224" spans="1:12" ht="12.75">
      <c r="A224" s="225"/>
      <c r="B224" s="225"/>
      <c r="C224" s="225"/>
      <c r="D224" s="225"/>
      <c r="E224" s="31"/>
      <c r="G224" s="225"/>
      <c r="H224" s="225"/>
      <c r="I224" s="225"/>
      <c r="J224" s="225"/>
      <c r="K224" s="31"/>
      <c r="L224" s="198"/>
    </row>
    <row r="225" spans="1:12" ht="12.75">
      <c r="A225" s="225" t="s">
        <v>134</v>
      </c>
      <c r="B225" s="225"/>
      <c r="C225" s="225"/>
      <c r="D225" s="225"/>
      <c r="E225" s="31"/>
      <c r="G225" s="225"/>
      <c r="H225" s="225"/>
      <c r="I225" s="225"/>
      <c r="J225" s="225"/>
      <c r="K225" s="31"/>
      <c r="L225" s="198"/>
    </row>
    <row r="226" spans="1:12" ht="12.75">
      <c r="A226" s="225" t="s">
        <v>136</v>
      </c>
      <c r="B226" s="225"/>
      <c r="C226" s="225"/>
      <c r="D226" s="225"/>
      <c r="E226" s="31"/>
      <c r="G226" s="81" t="s">
        <v>343</v>
      </c>
      <c r="J226" s="225"/>
      <c r="K226" s="31"/>
      <c r="L226" s="198"/>
    </row>
    <row r="227" spans="1:12" ht="12.75">
      <c r="A227" s="225"/>
      <c r="B227" s="225"/>
      <c r="C227" s="225"/>
      <c r="D227" s="225"/>
      <c r="E227" s="31"/>
      <c r="G227" s="225"/>
      <c r="H227" s="225"/>
      <c r="I227" s="225"/>
      <c r="J227" s="225"/>
      <c r="K227" s="31"/>
      <c r="L227" s="198"/>
    </row>
    <row r="228" spans="1:12" ht="12.75">
      <c r="A228" s="225"/>
      <c r="B228" s="225"/>
      <c r="C228" s="225"/>
      <c r="D228" s="225"/>
      <c r="E228" s="31"/>
      <c r="G228" s="225"/>
      <c r="H228" s="225"/>
      <c r="I228" s="225"/>
      <c r="J228" s="225"/>
      <c r="K228" s="31"/>
      <c r="L228" s="198"/>
    </row>
    <row r="229" spans="2:11" ht="12.75">
      <c r="B229" s="225"/>
      <c r="C229" s="225"/>
      <c r="D229" s="225"/>
      <c r="E229" s="31"/>
      <c r="K229" s="226"/>
    </row>
    <row r="230" spans="1:11" ht="12.75">
      <c r="A230" s="225"/>
      <c r="B230" s="225"/>
      <c r="C230" s="225"/>
      <c r="D230" s="225"/>
      <c r="E230" s="31"/>
      <c r="K230" s="226"/>
    </row>
    <row r="231" spans="1:7" ht="12.75">
      <c r="A231" s="225"/>
      <c r="B231" s="225"/>
      <c r="C231" s="225"/>
      <c r="D231" s="225"/>
      <c r="E231" s="31"/>
      <c r="G231" s="81"/>
    </row>
    <row r="232" spans="1:7" ht="12.75">
      <c r="A232" s="225"/>
      <c r="B232" s="31"/>
      <c r="C232" s="31"/>
      <c r="D232" s="31"/>
      <c r="E232" s="31"/>
      <c r="G232" s="225"/>
    </row>
    <row r="233" spans="1:5" ht="12.75">
      <c r="A233" s="225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7" ht="12.75">
      <c r="A241" s="31"/>
      <c r="B241" s="31"/>
      <c r="C241" s="31"/>
      <c r="D241" s="31"/>
      <c r="E241" s="31"/>
      <c r="G241" s="81"/>
    </row>
    <row r="242" spans="1:5" ht="12.75">
      <c r="A242" s="31"/>
      <c r="B242" s="31"/>
      <c r="C242" s="31"/>
      <c r="D242" s="31"/>
      <c r="E242" s="31"/>
    </row>
    <row r="243" spans="1:5" ht="12.75">
      <c r="A243" s="31"/>
      <c r="B243" s="31"/>
      <c r="C243" s="31"/>
      <c r="D243" s="31"/>
      <c r="E243" s="31"/>
    </row>
    <row r="244" spans="1:5" ht="12.75">
      <c r="A244" s="31"/>
      <c r="B244" s="31"/>
      <c r="C244" s="31"/>
      <c r="D244" s="31"/>
      <c r="E244" s="31"/>
    </row>
    <row r="245" spans="1:5" ht="12.75">
      <c r="A245" s="31"/>
      <c r="B245" s="31"/>
      <c r="C245" s="31"/>
      <c r="D245" s="31"/>
      <c r="E245" s="31"/>
    </row>
    <row r="246" ht="12.75">
      <c r="G246" s="225"/>
    </row>
    <row r="247" ht="12.75">
      <c r="G247" s="225"/>
    </row>
    <row r="254" ht="12.75">
      <c r="G254" s="225" t="s">
        <v>134</v>
      </c>
    </row>
    <row r="255" ht="12.75">
      <c r="G255" s="225" t="s">
        <v>136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23"/>
  <sheetViews>
    <sheetView workbookViewId="0" topLeftCell="H1">
      <selection activeCell="H8" sqref="H8"/>
    </sheetView>
  </sheetViews>
  <sheetFormatPr defaultColWidth="9.140625" defaultRowHeight="12.75"/>
  <cols>
    <col min="1" max="1" width="36.140625" style="48" hidden="1" customWidth="1"/>
    <col min="2" max="2" width="11.7109375" style="48" hidden="1" customWidth="1"/>
    <col min="3" max="4" width="11.421875" style="48" hidden="1" customWidth="1"/>
    <col min="5" max="5" width="9.140625" style="48" hidden="1" customWidth="1"/>
    <col min="6" max="6" width="8.28125" style="48" hidden="1" customWidth="1"/>
    <col min="7" max="7" width="13.140625" style="48" hidden="1" customWidth="1"/>
    <col min="8" max="8" width="32.8515625" style="48" customWidth="1"/>
    <col min="9" max="9" width="11.28125" style="48" customWidth="1"/>
    <col min="10" max="10" width="11.140625" style="48" customWidth="1"/>
    <col min="11" max="11" width="10.421875" style="48" customWidth="1"/>
    <col min="12" max="12" width="10.00390625" style="48" customWidth="1"/>
    <col min="13" max="14" width="10.421875" style="48" customWidth="1"/>
    <col min="15" max="16384" width="9.140625" style="48" customWidth="1"/>
  </cols>
  <sheetData>
    <row r="1" spans="1:14" ht="21" customHeight="1">
      <c r="A1" s="36" t="s">
        <v>344</v>
      </c>
      <c r="B1" s="36"/>
      <c r="C1" s="82"/>
      <c r="D1" s="82"/>
      <c r="E1" s="36"/>
      <c r="F1" s="36"/>
      <c r="G1" s="48" t="s">
        <v>345</v>
      </c>
      <c r="H1" s="36" t="s">
        <v>344</v>
      </c>
      <c r="I1" s="36"/>
      <c r="J1" s="82"/>
      <c r="K1" s="82"/>
      <c r="L1" s="36"/>
      <c r="M1" s="36"/>
      <c r="N1" s="227" t="s">
        <v>345</v>
      </c>
    </row>
    <row r="2" spans="1:11" ht="0.75" customHeight="1" hidden="1">
      <c r="A2" s="43"/>
      <c r="B2" s="43"/>
      <c r="C2" s="43"/>
      <c r="D2" s="43"/>
      <c r="H2" s="43"/>
      <c r="I2" s="43"/>
      <c r="J2" s="43"/>
      <c r="K2" s="43"/>
    </row>
    <row r="3" spans="1:11" ht="11.25" customHeight="1">
      <c r="A3" s="43"/>
      <c r="B3" s="43"/>
      <c r="C3" s="43"/>
      <c r="D3" s="43"/>
      <c r="H3" s="43"/>
      <c r="I3" s="43"/>
      <c r="J3" s="43"/>
      <c r="K3" s="43"/>
    </row>
    <row r="4" spans="1:14" ht="18.75" customHeight="1">
      <c r="A4" s="302" t="s">
        <v>346</v>
      </c>
      <c r="B4" s="302"/>
      <c r="C4" s="302"/>
      <c r="D4" s="302"/>
      <c r="E4" s="302"/>
      <c r="F4" s="302"/>
      <c r="G4" s="302"/>
      <c r="H4" s="302" t="s">
        <v>346</v>
      </c>
      <c r="I4" s="302"/>
      <c r="J4" s="302"/>
      <c r="K4" s="302"/>
      <c r="L4" s="302"/>
      <c r="M4" s="302"/>
      <c r="N4" s="302"/>
    </row>
    <row r="5" spans="1:14" ht="20.25" customHeight="1">
      <c r="A5" s="302" t="s">
        <v>222</v>
      </c>
      <c r="B5" s="302"/>
      <c r="C5" s="302"/>
      <c r="D5" s="302"/>
      <c r="E5" s="302"/>
      <c r="F5" s="302"/>
      <c r="G5" s="302"/>
      <c r="H5" s="302" t="s">
        <v>222</v>
      </c>
      <c r="I5" s="302"/>
      <c r="J5" s="302"/>
      <c r="K5" s="302"/>
      <c r="L5" s="302"/>
      <c r="M5" s="302"/>
      <c r="N5" s="302"/>
    </row>
    <row r="6" spans="1:14" ht="18" customHeight="1">
      <c r="A6" s="302" t="s">
        <v>180</v>
      </c>
      <c r="B6" s="302"/>
      <c r="C6" s="302"/>
      <c r="D6" s="302"/>
      <c r="E6" s="302"/>
      <c r="F6" s="302"/>
      <c r="G6" s="302"/>
      <c r="H6" s="302" t="s">
        <v>180</v>
      </c>
      <c r="I6" s="302"/>
      <c r="J6" s="302"/>
      <c r="K6" s="302"/>
      <c r="L6" s="302"/>
      <c r="M6" s="302"/>
      <c r="N6" s="302"/>
    </row>
    <row r="7" spans="1:14" ht="12.75" customHeight="1">
      <c r="A7" s="43"/>
      <c r="B7" s="43"/>
      <c r="C7" s="43"/>
      <c r="D7" s="43"/>
      <c r="G7" s="43"/>
      <c r="H7" s="43"/>
      <c r="I7" s="43"/>
      <c r="J7" s="43"/>
      <c r="K7" s="43"/>
      <c r="N7" s="228" t="s">
        <v>140</v>
      </c>
    </row>
    <row r="8" spans="1:14" ht="67.5" customHeight="1">
      <c r="A8" s="4" t="s">
        <v>2</v>
      </c>
      <c r="B8" s="4" t="s">
        <v>49</v>
      </c>
      <c r="C8" s="4" t="s">
        <v>223</v>
      </c>
      <c r="D8" s="4" t="s">
        <v>50</v>
      </c>
      <c r="E8" s="4" t="s">
        <v>224</v>
      </c>
      <c r="F8" s="4" t="s">
        <v>347</v>
      </c>
      <c r="G8" s="200" t="s">
        <v>143</v>
      </c>
      <c r="H8" s="4" t="s">
        <v>2</v>
      </c>
      <c r="I8" s="4" t="s">
        <v>49</v>
      </c>
      <c r="J8" s="4" t="s">
        <v>223</v>
      </c>
      <c r="K8" s="4" t="s">
        <v>50</v>
      </c>
      <c r="L8" s="4" t="s">
        <v>224</v>
      </c>
      <c r="M8" s="4" t="s">
        <v>347</v>
      </c>
      <c r="N8" s="4" t="s">
        <v>143</v>
      </c>
    </row>
    <row r="9" spans="1:14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0">
        <v>7</v>
      </c>
      <c r="H9" s="4">
        <v>1</v>
      </c>
      <c r="I9" s="4">
        <v>2</v>
      </c>
      <c r="J9" s="4">
        <v>3</v>
      </c>
      <c r="K9" s="4">
        <v>4</v>
      </c>
      <c r="L9" s="4">
        <v>5</v>
      </c>
      <c r="M9" s="4">
        <v>6</v>
      </c>
      <c r="N9" s="4">
        <v>7</v>
      </c>
    </row>
    <row r="10" spans="1:14" ht="18.75" customHeight="1">
      <c r="A10" s="189" t="s">
        <v>348</v>
      </c>
      <c r="B10" s="229">
        <v>766212969</v>
      </c>
      <c r="C10" s="229">
        <v>627028298</v>
      </c>
      <c r="D10" s="229">
        <v>576943070</v>
      </c>
      <c r="E10" s="59">
        <v>0.753</v>
      </c>
      <c r="F10" s="59">
        <v>0.92</v>
      </c>
      <c r="G10" s="230">
        <v>60538070</v>
      </c>
      <c r="H10" s="189" t="s">
        <v>348</v>
      </c>
      <c r="I10" s="231">
        <v>766213</v>
      </c>
      <c r="J10" s="231">
        <v>625086</v>
      </c>
      <c r="K10" s="231">
        <v>576943</v>
      </c>
      <c r="L10" s="232">
        <v>0.753</v>
      </c>
      <c r="M10" s="232">
        <v>0.923</v>
      </c>
      <c r="N10" s="231">
        <v>60538</v>
      </c>
    </row>
    <row r="11" spans="1:14" ht="22.5" customHeight="1">
      <c r="A11" s="115" t="s">
        <v>349</v>
      </c>
      <c r="B11" s="97">
        <v>731465706</v>
      </c>
      <c r="C11" s="233">
        <v>598981564</v>
      </c>
      <c r="D11" s="97">
        <v>517702217</v>
      </c>
      <c r="E11" s="63">
        <v>0.708</v>
      </c>
      <c r="F11" s="63">
        <v>0.864</v>
      </c>
      <c r="G11" s="234">
        <v>11462217</v>
      </c>
      <c r="H11" s="115" t="s">
        <v>349</v>
      </c>
      <c r="I11" s="166">
        <v>731466</v>
      </c>
      <c r="J11" s="166">
        <v>597039</v>
      </c>
      <c r="K11" s="166">
        <v>517702</v>
      </c>
      <c r="L11" s="63">
        <v>0.708</v>
      </c>
      <c r="M11" s="63">
        <v>0.867</v>
      </c>
      <c r="N11" s="166">
        <v>11462</v>
      </c>
    </row>
    <row r="12" spans="1:14" ht="15.75" customHeight="1">
      <c r="A12" s="115" t="s">
        <v>350</v>
      </c>
      <c r="B12" s="97">
        <v>34747263</v>
      </c>
      <c r="C12" s="233">
        <v>28046734</v>
      </c>
      <c r="D12" s="97">
        <v>59240853</v>
      </c>
      <c r="E12" s="63">
        <v>1.705</v>
      </c>
      <c r="F12" s="63">
        <v>2.112</v>
      </c>
      <c r="G12" s="234">
        <v>49075853</v>
      </c>
      <c r="H12" s="115" t="s">
        <v>350</v>
      </c>
      <c r="I12" s="166">
        <v>34747</v>
      </c>
      <c r="J12" s="166">
        <v>28047</v>
      </c>
      <c r="K12" s="166">
        <v>59241</v>
      </c>
      <c r="L12" s="63">
        <v>1.705</v>
      </c>
      <c r="M12" s="63">
        <v>2.112</v>
      </c>
      <c r="N12" s="166">
        <v>49076</v>
      </c>
    </row>
    <row r="13" spans="1:14" ht="21.75" customHeight="1">
      <c r="A13" s="189" t="s">
        <v>230</v>
      </c>
      <c r="B13" s="6">
        <v>858962243</v>
      </c>
      <c r="C13" s="6">
        <v>701172361</v>
      </c>
      <c r="D13" s="6">
        <v>650179507</v>
      </c>
      <c r="E13" s="59">
        <v>0.757</v>
      </c>
      <c r="F13" s="59">
        <v>0.927</v>
      </c>
      <c r="G13" s="202">
        <v>63629087</v>
      </c>
      <c r="H13" s="189" t="s">
        <v>230</v>
      </c>
      <c r="I13" s="210">
        <v>858962</v>
      </c>
      <c r="J13" s="210">
        <v>701172</v>
      </c>
      <c r="K13" s="210">
        <v>650180</v>
      </c>
      <c r="L13" s="232">
        <v>0.757</v>
      </c>
      <c r="M13" s="232">
        <v>0.927</v>
      </c>
      <c r="N13" s="210">
        <v>63630</v>
      </c>
    </row>
    <row r="14" spans="1:14" ht="20.25" customHeight="1">
      <c r="A14" s="102" t="s">
        <v>351</v>
      </c>
      <c r="B14" s="140">
        <v>809221988</v>
      </c>
      <c r="C14" s="140">
        <v>653939370</v>
      </c>
      <c r="D14" s="140">
        <v>608948975</v>
      </c>
      <c r="E14" s="59">
        <v>0.753</v>
      </c>
      <c r="F14" s="59">
        <v>0.931</v>
      </c>
      <c r="G14" s="235">
        <v>59019956</v>
      </c>
      <c r="H14" s="102" t="s">
        <v>351</v>
      </c>
      <c r="I14" s="53">
        <v>809222</v>
      </c>
      <c r="J14" s="53">
        <v>653939</v>
      </c>
      <c r="K14" s="53">
        <v>608949</v>
      </c>
      <c r="L14" s="232">
        <v>0.753</v>
      </c>
      <c r="M14" s="232">
        <v>0.931</v>
      </c>
      <c r="N14" s="53">
        <v>59020</v>
      </c>
    </row>
    <row r="15" spans="1:14" ht="18.75" customHeight="1">
      <c r="A15" s="106" t="s">
        <v>232</v>
      </c>
      <c r="B15" s="168">
        <v>84202331</v>
      </c>
      <c r="C15" s="168">
        <v>73028060</v>
      </c>
      <c r="D15" s="168">
        <v>51572728</v>
      </c>
      <c r="E15" s="59">
        <v>0.612</v>
      </c>
      <c r="F15" s="59">
        <v>0.706</v>
      </c>
      <c r="G15" s="236">
        <v>4119147</v>
      </c>
      <c r="H15" s="106" t="s">
        <v>232</v>
      </c>
      <c r="I15" s="169">
        <v>84202</v>
      </c>
      <c r="J15" s="169">
        <v>73028</v>
      </c>
      <c r="K15" s="237">
        <v>51572</v>
      </c>
      <c r="L15" s="59">
        <v>0.612</v>
      </c>
      <c r="M15" s="59">
        <v>0.706</v>
      </c>
      <c r="N15" s="58">
        <v>4118</v>
      </c>
    </row>
    <row r="16" spans="1:14" ht="12.75">
      <c r="A16" s="165" t="s">
        <v>233</v>
      </c>
      <c r="B16" s="143">
        <v>13936016</v>
      </c>
      <c r="C16" s="143">
        <v>11990491</v>
      </c>
      <c r="D16" s="143">
        <v>10788897</v>
      </c>
      <c r="E16" s="63">
        <v>0.774</v>
      </c>
      <c r="F16" s="63">
        <v>0.9</v>
      </c>
      <c r="G16" s="238">
        <v>737067</v>
      </c>
      <c r="H16" s="165" t="s">
        <v>233</v>
      </c>
      <c r="I16" s="183">
        <v>13936</v>
      </c>
      <c r="J16" s="183">
        <v>11990</v>
      </c>
      <c r="K16" s="166">
        <v>10789</v>
      </c>
      <c r="L16" s="63">
        <v>0.774</v>
      </c>
      <c r="M16" s="63">
        <v>0.9</v>
      </c>
      <c r="N16" s="166">
        <v>737</v>
      </c>
    </row>
    <row r="17" spans="1:14" ht="22.5">
      <c r="A17" s="115" t="s">
        <v>234</v>
      </c>
      <c r="B17" s="21" t="s">
        <v>9</v>
      </c>
      <c r="C17" s="21" t="s">
        <v>9</v>
      </c>
      <c r="D17" s="143">
        <v>2890043</v>
      </c>
      <c r="E17" s="171" t="s">
        <v>9</v>
      </c>
      <c r="F17" s="21" t="s">
        <v>9</v>
      </c>
      <c r="G17" s="238">
        <v>185260</v>
      </c>
      <c r="H17" s="115" t="s">
        <v>234</v>
      </c>
      <c r="I17" s="173" t="s">
        <v>9</v>
      </c>
      <c r="J17" s="173" t="s">
        <v>9</v>
      </c>
      <c r="K17" s="166">
        <v>2890</v>
      </c>
      <c r="L17" s="171" t="s">
        <v>9</v>
      </c>
      <c r="M17" s="21" t="s">
        <v>9</v>
      </c>
      <c r="N17" s="166">
        <v>185</v>
      </c>
    </row>
    <row r="18" spans="1:14" ht="12.75">
      <c r="A18" s="115" t="s">
        <v>235</v>
      </c>
      <c r="B18" s="21" t="s">
        <v>9</v>
      </c>
      <c r="C18" s="21" t="s">
        <v>9</v>
      </c>
      <c r="D18" s="143">
        <v>36318627</v>
      </c>
      <c r="E18" s="171" t="s">
        <v>9</v>
      </c>
      <c r="F18" s="21" t="s">
        <v>9</v>
      </c>
      <c r="G18" s="238">
        <v>3066820</v>
      </c>
      <c r="H18" s="115" t="s">
        <v>235</v>
      </c>
      <c r="I18" s="173" t="s">
        <v>9</v>
      </c>
      <c r="J18" s="173" t="s">
        <v>9</v>
      </c>
      <c r="K18" s="166">
        <v>36318</v>
      </c>
      <c r="L18" s="171" t="s">
        <v>9</v>
      </c>
      <c r="M18" s="21" t="s">
        <v>9</v>
      </c>
      <c r="N18" s="166">
        <v>3066</v>
      </c>
    </row>
    <row r="19" spans="1:14" s="187" customFormat="1" ht="21.75" customHeight="1">
      <c r="A19" s="117" t="s">
        <v>352</v>
      </c>
      <c r="B19" s="11" t="s">
        <v>9</v>
      </c>
      <c r="C19" s="11" t="s">
        <v>9</v>
      </c>
      <c r="D19" s="174">
        <v>34899469</v>
      </c>
      <c r="E19" s="175" t="s">
        <v>9</v>
      </c>
      <c r="F19" s="11" t="s">
        <v>9</v>
      </c>
      <c r="G19" s="238">
        <v>2909251</v>
      </c>
      <c r="H19" s="117" t="s">
        <v>352</v>
      </c>
      <c r="I19" s="177" t="s">
        <v>9</v>
      </c>
      <c r="J19" s="177" t="s">
        <v>9</v>
      </c>
      <c r="K19" s="178">
        <v>34899</v>
      </c>
      <c r="L19" s="175" t="s">
        <v>9</v>
      </c>
      <c r="M19" s="11" t="s">
        <v>9</v>
      </c>
      <c r="N19" s="178">
        <v>2909</v>
      </c>
    </row>
    <row r="20" spans="1:14" s="187" customFormat="1" ht="0.75" customHeight="1" hidden="1">
      <c r="A20" s="117" t="s">
        <v>353</v>
      </c>
      <c r="B20" s="12"/>
      <c r="C20" s="11" t="s">
        <v>9</v>
      </c>
      <c r="D20" s="174"/>
      <c r="E20" s="70" t="s">
        <v>63</v>
      </c>
      <c r="F20" s="239" t="s">
        <v>9</v>
      </c>
      <c r="G20" s="238"/>
      <c r="H20" s="117" t="s">
        <v>353</v>
      </c>
      <c r="I20" s="178">
        <v>0</v>
      </c>
      <c r="J20" s="177" t="s">
        <v>9</v>
      </c>
      <c r="K20" s="178">
        <v>0</v>
      </c>
      <c r="L20" s="70" t="s">
        <v>63</v>
      </c>
      <c r="M20" s="239" t="s">
        <v>9</v>
      </c>
      <c r="N20" s="178"/>
    </row>
    <row r="21" spans="1:14" s="187" customFormat="1" ht="25.5" customHeight="1">
      <c r="A21" s="117" t="s">
        <v>354</v>
      </c>
      <c r="B21" s="12">
        <v>7138000</v>
      </c>
      <c r="C21" s="11" t="s">
        <v>9</v>
      </c>
      <c r="D21" s="174">
        <v>851354</v>
      </c>
      <c r="E21" s="70">
        <v>0.119</v>
      </c>
      <c r="F21" s="11" t="s">
        <v>9</v>
      </c>
      <c r="G21" s="238">
        <v>24354</v>
      </c>
      <c r="H21" s="117" t="s">
        <v>354</v>
      </c>
      <c r="I21" s="178">
        <v>7138</v>
      </c>
      <c r="J21" s="177" t="s">
        <v>9</v>
      </c>
      <c r="K21" s="178">
        <v>851</v>
      </c>
      <c r="L21" s="70">
        <v>0.119</v>
      </c>
      <c r="M21" s="11" t="s">
        <v>9</v>
      </c>
      <c r="N21" s="178">
        <v>24</v>
      </c>
    </row>
    <row r="22" spans="1:14" s="187" customFormat="1" ht="12.75">
      <c r="A22" s="117" t="s">
        <v>238</v>
      </c>
      <c r="B22" s="11" t="s">
        <v>9</v>
      </c>
      <c r="C22" s="11" t="s">
        <v>9</v>
      </c>
      <c r="D22" s="174">
        <v>567804</v>
      </c>
      <c r="E22" s="175" t="s">
        <v>9</v>
      </c>
      <c r="F22" s="11" t="s">
        <v>9</v>
      </c>
      <c r="G22" s="238">
        <v>133215</v>
      </c>
      <c r="H22" s="117" t="s">
        <v>238</v>
      </c>
      <c r="I22" s="177" t="s">
        <v>9</v>
      </c>
      <c r="J22" s="177" t="s">
        <v>9</v>
      </c>
      <c r="K22" s="178">
        <v>568</v>
      </c>
      <c r="L22" s="175" t="s">
        <v>9</v>
      </c>
      <c r="M22" s="11" t="s">
        <v>9</v>
      </c>
      <c r="N22" s="178">
        <v>133</v>
      </c>
    </row>
    <row r="23" spans="1:14" ht="12.75">
      <c r="A23" s="115" t="s">
        <v>355</v>
      </c>
      <c r="B23" s="21" t="s">
        <v>9</v>
      </c>
      <c r="C23" s="21" t="s">
        <v>9</v>
      </c>
      <c r="D23" s="143">
        <v>1575161</v>
      </c>
      <c r="E23" s="171" t="s">
        <v>9</v>
      </c>
      <c r="F23" s="21" t="s">
        <v>9</v>
      </c>
      <c r="G23" s="238">
        <v>130000</v>
      </c>
      <c r="H23" s="115" t="s">
        <v>355</v>
      </c>
      <c r="I23" s="173" t="s">
        <v>9</v>
      </c>
      <c r="J23" s="173" t="s">
        <v>9</v>
      </c>
      <c r="K23" s="166">
        <v>1575</v>
      </c>
      <c r="L23" s="171" t="s">
        <v>9</v>
      </c>
      <c r="M23" s="21" t="s">
        <v>9</v>
      </c>
      <c r="N23" s="166">
        <v>130</v>
      </c>
    </row>
    <row r="24" spans="1:14" ht="26.25" customHeight="1">
      <c r="A24" s="114" t="s">
        <v>241</v>
      </c>
      <c r="B24" s="143">
        <v>3043213</v>
      </c>
      <c r="C24" s="143">
        <v>2380498</v>
      </c>
      <c r="D24" s="143">
        <v>1794648</v>
      </c>
      <c r="E24" s="63">
        <v>0.59</v>
      </c>
      <c r="F24" s="63">
        <v>0.754</v>
      </c>
      <c r="G24" s="238">
        <v>424128</v>
      </c>
      <c r="H24" s="114" t="s">
        <v>241</v>
      </c>
      <c r="I24" s="169">
        <v>3043</v>
      </c>
      <c r="J24" s="169">
        <v>2380</v>
      </c>
      <c r="K24" s="237">
        <v>1795</v>
      </c>
      <c r="L24" s="59">
        <v>0.59</v>
      </c>
      <c r="M24" s="59">
        <v>0.754</v>
      </c>
      <c r="N24" s="237">
        <v>425</v>
      </c>
    </row>
    <row r="25" spans="1:14" ht="23.25" customHeight="1">
      <c r="A25" s="115" t="s">
        <v>356</v>
      </c>
      <c r="B25" s="21" t="s">
        <v>9</v>
      </c>
      <c r="C25" s="21" t="s">
        <v>9</v>
      </c>
      <c r="D25" s="143">
        <v>485384</v>
      </c>
      <c r="E25" s="171" t="s">
        <v>9</v>
      </c>
      <c r="F25" s="21" t="s">
        <v>9</v>
      </c>
      <c r="G25" s="238">
        <v>68240</v>
      </c>
      <c r="H25" s="115" t="s">
        <v>356</v>
      </c>
      <c r="I25" s="173" t="s">
        <v>9</v>
      </c>
      <c r="J25" s="173" t="s">
        <v>9</v>
      </c>
      <c r="K25" s="166">
        <v>486</v>
      </c>
      <c r="L25" s="171" t="s">
        <v>9</v>
      </c>
      <c r="M25" s="21" t="s">
        <v>9</v>
      </c>
      <c r="N25" s="166">
        <v>69</v>
      </c>
    </row>
    <row r="26" spans="1:14" ht="24.75" customHeight="1">
      <c r="A26" s="115" t="s">
        <v>357</v>
      </c>
      <c r="B26" s="21" t="s">
        <v>9</v>
      </c>
      <c r="C26" s="21" t="s">
        <v>9</v>
      </c>
      <c r="D26" s="143">
        <v>1309264</v>
      </c>
      <c r="E26" s="171" t="s">
        <v>9</v>
      </c>
      <c r="F26" s="21" t="s">
        <v>9</v>
      </c>
      <c r="G26" s="238">
        <v>355888</v>
      </c>
      <c r="H26" s="115" t="s">
        <v>357</v>
      </c>
      <c r="I26" s="173" t="s">
        <v>9</v>
      </c>
      <c r="J26" s="173" t="s">
        <v>9</v>
      </c>
      <c r="K26" s="166">
        <v>1309</v>
      </c>
      <c r="L26" s="171" t="s">
        <v>9</v>
      </c>
      <c r="M26" s="21" t="s">
        <v>9</v>
      </c>
      <c r="N26" s="166">
        <v>356</v>
      </c>
    </row>
    <row r="27" spans="1:14" ht="16.5" customHeight="1">
      <c r="A27" s="240" t="s">
        <v>245</v>
      </c>
      <c r="B27" s="143">
        <v>721976444</v>
      </c>
      <c r="C27" s="143">
        <v>578530812</v>
      </c>
      <c r="D27" s="143">
        <v>555581599</v>
      </c>
      <c r="E27" s="63">
        <v>0.77</v>
      </c>
      <c r="F27" s="63">
        <v>0.96</v>
      </c>
      <c r="G27" s="241">
        <v>54476681</v>
      </c>
      <c r="H27" s="240" t="s">
        <v>245</v>
      </c>
      <c r="I27" s="169">
        <v>721977</v>
      </c>
      <c r="J27" s="169">
        <v>578531</v>
      </c>
      <c r="K27" s="237">
        <v>555582</v>
      </c>
      <c r="L27" s="59">
        <v>0.77</v>
      </c>
      <c r="M27" s="59">
        <v>0.96</v>
      </c>
      <c r="N27" s="237">
        <v>54477</v>
      </c>
    </row>
    <row r="28" spans="1:14" ht="15.75" customHeight="1">
      <c r="A28" s="165" t="s">
        <v>246</v>
      </c>
      <c r="B28" s="21" t="s">
        <v>9</v>
      </c>
      <c r="C28" s="21" t="s">
        <v>9</v>
      </c>
      <c r="D28" s="143">
        <v>2051810</v>
      </c>
      <c r="E28" s="171" t="s">
        <v>9</v>
      </c>
      <c r="F28" s="21" t="s">
        <v>9</v>
      </c>
      <c r="G28" s="238">
        <v>248717</v>
      </c>
      <c r="H28" s="165" t="s">
        <v>246</v>
      </c>
      <c r="I28" s="173" t="s">
        <v>9</v>
      </c>
      <c r="J28" s="173" t="s">
        <v>9</v>
      </c>
      <c r="K28" s="166">
        <v>2052</v>
      </c>
      <c r="L28" s="171" t="s">
        <v>9</v>
      </c>
      <c r="M28" s="21" t="s">
        <v>9</v>
      </c>
      <c r="N28" s="166">
        <v>249</v>
      </c>
    </row>
    <row r="29" spans="1:14" ht="15" customHeight="1">
      <c r="A29" s="165" t="s">
        <v>247</v>
      </c>
      <c r="B29" s="21" t="s">
        <v>9</v>
      </c>
      <c r="C29" s="21" t="s">
        <v>9</v>
      </c>
      <c r="D29" s="143">
        <v>17200706</v>
      </c>
      <c r="E29" s="171" t="s">
        <v>9</v>
      </c>
      <c r="F29" s="21" t="s">
        <v>9</v>
      </c>
      <c r="G29" s="238">
        <v>1304600</v>
      </c>
      <c r="H29" s="165" t="s">
        <v>247</v>
      </c>
      <c r="I29" s="173" t="s">
        <v>9</v>
      </c>
      <c r="J29" s="173" t="s">
        <v>9</v>
      </c>
      <c r="K29" s="166">
        <v>17201</v>
      </c>
      <c r="L29" s="171" t="s">
        <v>9</v>
      </c>
      <c r="M29" s="21" t="s">
        <v>9</v>
      </c>
      <c r="N29" s="166">
        <v>1305</v>
      </c>
    </row>
    <row r="30" spans="1:14" ht="1.5" customHeight="1" hidden="1">
      <c r="A30" s="115" t="s">
        <v>248</v>
      </c>
      <c r="B30" s="21" t="s">
        <v>9</v>
      </c>
      <c r="C30" s="21" t="s">
        <v>9</v>
      </c>
      <c r="D30" s="143"/>
      <c r="E30" s="171" t="s">
        <v>9</v>
      </c>
      <c r="F30" s="21" t="s">
        <v>9</v>
      </c>
      <c r="G30" s="238">
        <v>0</v>
      </c>
      <c r="H30" s="115" t="s">
        <v>248</v>
      </c>
      <c r="I30" s="173" t="s">
        <v>9</v>
      </c>
      <c r="J30" s="173" t="s">
        <v>9</v>
      </c>
      <c r="K30" s="166">
        <v>0</v>
      </c>
      <c r="L30" s="171" t="s">
        <v>9</v>
      </c>
      <c r="M30" s="21" t="s">
        <v>9</v>
      </c>
      <c r="N30" s="166">
        <v>0</v>
      </c>
    </row>
    <row r="31" spans="1:14" ht="12.75">
      <c r="A31" s="115" t="s">
        <v>249</v>
      </c>
      <c r="B31" s="21" t="s">
        <v>9</v>
      </c>
      <c r="C31" s="21" t="s">
        <v>9</v>
      </c>
      <c r="D31" s="143">
        <v>123749015</v>
      </c>
      <c r="E31" s="171" t="s">
        <v>9</v>
      </c>
      <c r="F31" s="21" t="s">
        <v>9</v>
      </c>
      <c r="G31" s="238">
        <v>13028123</v>
      </c>
      <c r="H31" s="115" t="s">
        <v>249</v>
      </c>
      <c r="I31" s="173" t="s">
        <v>9</v>
      </c>
      <c r="J31" s="173" t="s">
        <v>9</v>
      </c>
      <c r="K31" s="184">
        <v>123749</v>
      </c>
      <c r="L31" s="171" t="s">
        <v>9</v>
      </c>
      <c r="M31" s="21" t="s">
        <v>9</v>
      </c>
      <c r="N31" s="184">
        <v>13028</v>
      </c>
    </row>
    <row r="32" spans="1:14" s="187" customFormat="1" ht="26.25" customHeight="1">
      <c r="A32" s="117" t="s">
        <v>358</v>
      </c>
      <c r="B32" s="12">
        <v>45817545</v>
      </c>
      <c r="C32" s="11" t="s">
        <v>9</v>
      </c>
      <c r="D32" s="174">
        <v>10442085</v>
      </c>
      <c r="E32" s="63">
        <v>0.228</v>
      </c>
      <c r="F32" s="11" t="s">
        <v>9</v>
      </c>
      <c r="G32" s="238">
        <v>540804</v>
      </c>
      <c r="H32" s="117" t="s">
        <v>353</v>
      </c>
      <c r="I32" s="178">
        <v>45818</v>
      </c>
      <c r="J32" s="177" t="s">
        <v>9</v>
      </c>
      <c r="K32" s="178">
        <v>10442</v>
      </c>
      <c r="L32" s="70">
        <v>0.228</v>
      </c>
      <c r="M32" s="11" t="s">
        <v>9</v>
      </c>
      <c r="N32" s="178">
        <v>541</v>
      </c>
    </row>
    <row r="33" spans="1:14" s="187" customFormat="1" ht="12.75">
      <c r="A33" s="117" t="s">
        <v>359</v>
      </c>
      <c r="B33" s="11" t="s">
        <v>9</v>
      </c>
      <c r="C33" s="11" t="s">
        <v>9</v>
      </c>
      <c r="D33" s="174">
        <v>113306930</v>
      </c>
      <c r="E33" s="175" t="s">
        <v>9</v>
      </c>
      <c r="F33" s="11" t="s">
        <v>9</v>
      </c>
      <c r="G33" s="238">
        <v>12487319</v>
      </c>
      <c r="H33" s="117" t="s">
        <v>359</v>
      </c>
      <c r="I33" s="177" t="s">
        <v>9</v>
      </c>
      <c r="J33" s="177" t="s">
        <v>9</v>
      </c>
      <c r="K33" s="178">
        <v>113307</v>
      </c>
      <c r="L33" s="175" t="s">
        <v>9</v>
      </c>
      <c r="M33" s="11" t="s">
        <v>9</v>
      </c>
      <c r="N33" s="178">
        <v>12487</v>
      </c>
    </row>
    <row r="34" spans="1:14" ht="15" customHeight="1">
      <c r="A34" s="115" t="s">
        <v>254</v>
      </c>
      <c r="B34" s="21" t="s">
        <v>9</v>
      </c>
      <c r="C34" s="21" t="s">
        <v>9</v>
      </c>
      <c r="D34" s="143">
        <v>412523050</v>
      </c>
      <c r="E34" s="171" t="s">
        <v>9</v>
      </c>
      <c r="F34" s="21" t="s">
        <v>9</v>
      </c>
      <c r="G34" s="238">
        <v>39895241</v>
      </c>
      <c r="H34" s="115" t="s">
        <v>254</v>
      </c>
      <c r="I34" s="173" t="s">
        <v>9</v>
      </c>
      <c r="J34" s="173" t="s">
        <v>9</v>
      </c>
      <c r="K34" s="184">
        <v>412523</v>
      </c>
      <c r="L34" s="171" t="s">
        <v>9</v>
      </c>
      <c r="M34" s="21" t="s">
        <v>9</v>
      </c>
      <c r="N34" s="184">
        <v>39895</v>
      </c>
    </row>
    <row r="35" spans="1:14" s="187" customFormat="1" ht="15" customHeight="1">
      <c r="A35" s="117" t="s">
        <v>360</v>
      </c>
      <c r="B35" s="11" t="s">
        <v>9</v>
      </c>
      <c r="C35" s="11" t="s">
        <v>9</v>
      </c>
      <c r="D35" s="174">
        <v>374615881</v>
      </c>
      <c r="E35" s="175" t="s">
        <v>9</v>
      </c>
      <c r="F35" s="11" t="s">
        <v>9</v>
      </c>
      <c r="G35" s="238">
        <v>36512600</v>
      </c>
      <c r="H35" s="117" t="s">
        <v>360</v>
      </c>
      <c r="I35" s="177" t="s">
        <v>9</v>
      </c>
      <c r="J35" s="177" t="s">
        <v>9</v>
      </c>
      <c r="K35" s="166">
        <v>374616</v>
      </c>
      <c r="L35" s="175" t="s">
        <v>9</v>
      </c>
      <c r="M35" s="11" t="s">
        <v>9</v>
      </c>
      <c r="N35" s="178">
        <v>36513</v>
      </c>
    </row>
    <row r="36" spans="1:14" s="187" customFormat="1" ht="15" customHeight="1">
      <c r="A36" s="117" t="s">
        <v>361</v>
      </c>
      <c r="B36" s="11" t="s">
        <v>9</v>
      </c>
      <c r="C36" s="11" t="s">
        <v>9</v>
      </c>
      <c r="D36" s="174">
        <v>36859308</v>
      </c>
      <c r="E36" s="175" t="s">
        <v>9</v>
      </c>
      <c r="F36" s="11" t="s">
        <v>9</v>
      </c>
      <c r="G36" s="238">
        <v>3342802</v>
      </c>
      <c r="H36" s="117" t="s">
        <v>361</v>
      </c>
      <c r="I36" s="177" t="s">
        <v>9</v>
      </c>
      <c r="J36" s="177" t="s">
        <v>9</v>
      </c>
      <c r="K36" s="166">
        <v>36859</v>
      </c>
      <c r="L36" s="175" t="s">
        <v>9</v>
      </c>
      <c r="M36" s="11" t="s">
        <v>9</v>
      </c>
      <c r="N36" s="178">
        <v>3342</v>
      </c>
    </row>
    <row r="37" spans="1:14" s="187" customFormat="1" ht="15" customHeight="1">
      <c r="A37" s="117" t="s">
        <v>362</v>
      </c>
      <c r="B37" s="11" t="s">
        <v>9</v>
      </c>
      <c r="C37" s="11" t="s">
        <v>9</v>
      </c>
      <c r="D37" s="174">
        <v>801023</v>
      </c>
      <c r="E37" s="175" t="s">
        <v>9</v>
      </c>
      <c r="F37" s="11" t="s">
        <v>9</v>
      </c>
      <c r="G37" s="238">
        <v>13199</v>
      </c>
      <c r="H37" s="117" t="s">
        <v>362</v>
      </c>
      <c r="I37" s="177" t="s">
        <v>9</v>
      </c>
      <c r="J37" s="177" t="s">
        <v>9</v>
      </c>
      <c r="K37" s="166">
        <v>801</v>
      </c>
      <c r="L37" s="175" t="s">
        <v>9</v>
      </c>
      <c r="M37" s="11" t="s">
        <v>9</v>
      </c>
      <c r="N37" s="178">
        <v>13</v>
      </c>
    </row>
    <row r="38" spans="1:14" s="187" customFormat="1" ht="15" customHeight="1">
      <c r="A38" s="117" t="s">
        <v>363</v>
      </c>
      <c r="B38" s="11" t="s">
        <v>9</v>
      </c>
      <c r="C38" s="11" t="s">
        <v>9</v>
      </c>
      <c r="D38" s="174">
        <v>246838</v>
      </c>
      <c r="E38" s="175" t="s">
        <v>9</v>
      </c>
      <c r="F38" s="11" t="s">
        <v>9</v>
      </c>
      <c r="G38" s="238">
        <v>26640</v>
      </c>
      <c r="H38" s="117" t="s">
        <v>363</v>
      </c>
      <c r="I38" s="177" t="s">
        <v>9</v>
      </c>
      <c r="J38" s="177" t="s">
        <v>9</v>
      </c>
      <c r="K38" s="178">
        <v>247</v>
      </c>
      <c r="L38" s="175" t="s">
        <v>9</v>
      </c>
      <c r="M38" s="11" t="s">
        <v>9</v>
      </c>
      <c r="N38" s="178">
        <v>27</v>
      </c>
    </row>
    <row r="39" spans="1:14" ht="12.75">
      <c r="A39" s="115" t="s">
        <v>364</v>
      </c>
      <c r="B39" s="27">
        <v>84198</v>
      </c>
      <c r="C39" s="27">
        <v>84198</v>
      </c>
      <c r="D39" s="143">
        <v>57018</v>
      </c>
      <c r="E39" s="63">
        <v>0.677</v>
      </c>
      <c r="F39" s="63">
        <v>0.677</v>
      </c>
      <c r="G39" s="238">
        <v>0</v>
      </c>
      <c r="H39" s="115" t="s">
        <v>364</v>
      </c>
      <c r="I39" s="166">
        <v>84</v>
      </c>
      <c r="J39" s="166">
        <v>84</v>
      </c>
      <c r="K39" s="166">
        <v>57</v>
      </c>
      <c r="L39" s="63">
        <v>0.679</v>
      </c>
      <c r="M39" s="63">
        <v>0.679</v>
      </c>
      <c r="N39" s="166">
        <v>0</v>
      </c>
    </row>
    <row r="40" spans="1:14" ht="32.25" customHeight="1">
      <c r="A40" s="121" t="s">
        <v>264</v>
      </c>
      <c r="B40" s="135">
        <v>49740255</v>
      </c>
      <c r="C40" s="135">
        <v>47232991</v>
      </c>
      <c r="D40" s="135">
        <v>41230532</v>
      </c>
      <c r="E40" s="59">
        <v>0.829</v>
      </c>
      <c r="F40" s="59">
        <v>0.873</v>
      </c>
      <c r="G40" s="242">
        <v>4609131</v>
      </c>
      <c r="H40" s="121" t="s">
        <v>264</v>
      </c>
      <c r="I40" s="243">
        <v>49740</v>
      </c>
      <c r="J40" s="243">
        <v>47233</v>
      </c>
      <c r="K40" s="243">
        <v>41231</v>
      </c>
      <c r="L40" s="56">
        <v>0.829</v>
      </c>
      <c r="M40" s="56">
        <v>0.873</v>
      </c>
      <c r="N40" s="243">
        <v>4610</v>
      </c>
    </row>
    <row r="41" spans="1:14" ht="18" customHeight="1">
      <c r="A41" s="115" t="s">
        <v>265</v>
      </c>
      <c r="B41" s="27">
        <v>16386189</v>
      </c>
      <c r="C41" s="27">
        <v>16254603</v>
      </c>
      <c r="D41" s="143">
        <v>18061088</v>
      </c>
      <c r="E41" s="63">
        <v>1.102</v>
      </c>
      <c r="F41" s="63">
        <v>1.111</v>
      </c>
      <c r="G41" s="238">
        <v>2218609</v>
      </c>
      <c r="H41" s="115" t="s">
        <v>265</v>
      </c>
      <c r="I41" s="183">
        <v>16386</v>
      </c>
      <c r="J41" s="183">
        <v>16255</v>
      </c>
      <c r="K41" s="166">
        <v>18061</v>
      </c>
      <c r="L41" s="63">
        <v>1.102</v>
      </c>
      <c r="M41" s="63">
        <v>1.111</v>
      </c>
      <c r="N41" s="166">
        <v>2219</v>
      </c>
    </row>
    <row r="42" spans="1:14" ht="15.75" customHeight="1">
      <c r="A42" s="115" t="s">
        <v>266</v>
      </c>
      <c r="B42" s="12">
        <v>33354066</v>
      </c>
      <c r="C42" s="27">
        <v>30978388</v>
      </c>
      <c r="D42" s="174">
        <v>23169444</v>
      </c>
      <c r="E42" s="63">
        <v>0.695</v>
      </c>
      <c r="F42" s="63">
        <v>0.748</v>
      </c>
      <c r="G42" s="238">
        <v>2390522</v>
      </c>
      <c r="H42" s="115" t="s">
        <v>266</v>
      </c>
      <c r="I42" s="183">
        <v>33354</v>
      </c>
      <c r="J42" s="183">
        <v>30978</v>
      </c>
      <c r="K42" s="166">
        <v>23170</v>
      </c>
      <c r="L42" s="63">
        <v>0.695</v>
      </c>
      <c r="M42" s="63">
        <v>0.748</v>
      </c>
      <c r="N42" s="166">
        <v>2391</v>
      </c>
    </row>
    <row r="43" spans="1:14" ht="67.5" customHeight="1" hidden="1">
      <c r="A43" s="4" t="s">
        <v>2</v>
      </c>
      <c r="B43" s="4" t="s">
        <v>49</v>
      </c>
      <c r="C43" s="4" t="s">
        <v>223</v>
      </c>
      <c r="D43" s="4" t="s">
        <v>50</v>
      </c>
      <c r="E43" s="4" t="s">
        <v>224</v>
      </c>
      <c r="F43" s="4" t="s">
        <v>347</v>
      </c>
      <c r="G43" s="200" t="s">
        <v>365</v>
      </c>
      <c r="H43" s="4" t="s">
        <v>2</v>
      </c>
      <c r="I43" s="52" t="s">
        <v>49</v>
      </c>
      <c r="J43" s="4" t="s">
        <v>223</v>
      </c>
      <c r="K43" s="4" t="s">
        <v>50</v>
      </c>
      <c r="L43" s="4" t="s">
        <v>224</v>
      </c>
      <c r="M43" s="4" t="s">
        <v>347</v>
      </c>
      <c r="N43" s="4" t="s">
        <v>365</v>
      </c>
    </row>
    <row r="44" spans="1:14" ht="12.75" hidden="1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200">
        <v>8</v>
      </c>
      <c r="H44" s="4">
        <v>1</v>
      </c>
      <c r="I44" s="52">
        <v>2</v>
      </c>
      <c r="J44" s="4">
        <v>3</v>
      </c>
      <c r="K44" s="4">
        <v>4</v>
      </c>
      <c r="L44" s="4">
        <v>5</v>
      </c>
      <c r="M44" s="4">
        <v>6</v>
      </c>
      <c r="N44" s="4">
        <v>8</v>
      </c>
    </row>
    <row r="45" spans="1:14" ht="30.75" customHeight="1">
      <c r="A45" s="74" t="s">
        <v>366</v>
      </c>
      <c r="B45" s="21">
        <v>3750750</v>
      </c>
      <c r="C45" s="21" t="s">
        <v>9</v>
      </c>
      <c r="D45" s="140">
        <v>2071538</v>
      </c>
      <c r="E45" s="171" t="s">
        <v>9</v>
      </c>
      <c r="F45" s="21" t="s">
        <v>9</v>
      </c>
      <c r="G45" s="235">
        <v>366792</v>
      </c>
      <c r="H45" s="74" t="s">
        <v>366</v>
      </c>
      <c r="I45" s="163">
        <v>3751</v>
      </c>
      <c r="J45" s="173" t="s">
        <v>9</v>
      </c>
      <c r="K45" s="53">
        <v>2071</v>
      </c>
      <c r="L45" s="171" t="s">
        <v>9</v>
      </c>
      <c r="M45" s="21" t="s">
        <v>9</v>
      </c>
      <c r="N45" s="53">
        <v>366</v>
      </c>
    </row>
    <row r="46" spans="1:14" ht="19.5" customHeight="1">
      <c r="A46" s="165" t="s">
        <v>268</v>
      </c>
      <c r="B46" s="27"/>
      <c r="C46" s="21">
        <v>3193035</v>
      </c>
      <c r="D46" s="143">
        <v>2086369</v>
      </c>
      <c r="E46" s="63" t="s">
        <v>63</v>
      </c>
      <c r="F46" s="63">
        <v>0.653</v>
      </c>
      <c r="G46" s="238">
        <v>370336</v>
      </c>
      <c r="H46" s="165" t="s">
        <v>268</v>
      </c>
      <c r="I46" s="173" t="s">
        <v>9</v>
      </c>
      <c r="J46" s="166">
        <v>3193</v>
      </c>
      <c r="K46" s="166">
        <v>2086</v>
      </c>
      <c r="L46" s="63" t="s">
        <v>63</v>
      </c>
      <c r="M46" s="63">
        <v>0.653</v>
      </c>
      <c r="N46" s="166">
        <v>370</v>
      </c>
    </row>
    <row r="47" spans="1:14" ht="27.75" customHeight="1">
      <c r="A47" s="145" t="s">
        <v>269</v>
      </c>
      <c r="B47" s="27"/>
      <c r="C47" s="21">
        <v>2624</v>
      </c>
      <c r="D47" s="143">
        <v>14831</v>
      </c>
      <c r="E47" s="63" t="s">
        <v>63</v>
      </c>
      <c r="F47" s="63">
        <v>5.652</v>
      </c>
      <c r="G47" s="238">
        <v>3544</v>
      </c>
      <c r="H47" s="145" t="s">
        <v>269</v>
      </c>
      <c r="I47" s="173" t="s">
        <v>9</v>
      </c>
      <c r="J47" s="166">
        <v>3</v>
      </c>
      <c r="K47" s="166">
        <v>15</v>
      </c>
      <c r="L47" s="63" t="s">
        <v>63</v>
      </c>
      <c r="M47" s="63">
        <v>5</v>
      </c>
      <c r="N47" s="166">
        <v>4</v>
      </c>
    </row>
    <row r="48" spans="1:163" s="60" customFormat="1" ht="21.75" customHeight="1">
      <c r="A48" s="74" t="s">
        <v>270</v>
      </c>
      <c r="B48" s="135">
        <v>-96500024</v>
      </c>
      <c r="C48" s="21" t="s">
        <v>9</v>
      </c>
      <c r="D48" s="135">
        <v>-75307975</v>
      </c>
      <c r="E48" s="59">
        <v>0.78</v>
      </c>
      <c r="F48" s="21" t="s">
        <v>9</v>
      </c>
      <c r="G48" s="242">
        <v>-3457809</v>
      </c>
      <c r="H48" s="74" t="s">
        <v>270</v>
      </c>
      <c r="I48" s="163">
        <v>-96500</v>
      </c>
      <c r="J48" s="244" t="s">
        <v>9</v>
      </c>
      <c r="K48" s="243">
        <v>-75308</v>
      </c>
      <c r="L48" s="56">
        <v>0.78</v>
      </c>
      <c r="M48" s="245" t="s">
        <v>9</v>
      </c>
      <c r="N48" s="243">
        <v>-3458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60" customFormat="1" ht="18" customHeight="1">
      <c r="A49" s="74" t="s">
        <v>367</v>
      </c>
      <c r="B49" s="140">
        <v>96500024</v>
      </c>
      <c r="C49" s="21" t="s">
        <v>9</v>
      </c>
      <c r="D49" s="140">
        <v>75307975</v>
      </c>
      <c r="E49" s="63">
        <v>0.78</v>
      </c>
      <c r="F49" s="21" t="s">
        <v>9</v>
      </c>
      <c r="G49" s="235">
        <v>3457809</v>
      </c>
      <c r="H49" s="74" t="s">
        <v>367</v>
      </c>
      <c r="I49" s="163">
        <v>96500</v>
      </c>
      <c r="J49" s="244" t="s">
        <v>9</v>
      </c>
      <c r="K49" s="163">
        <v>75308</v>
      </c>
      <c r="L49" s="56">
        <v>0.78</v>
      </c>
      <c r="M49" s="245" t="s">
        <v>9</v>
      </c>
      <c r="N49" s="141">
        <v>3458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60" customFormat="1" ht="17.25" customHeight="1">
      <c r="A50" s="115" t="s">
        <v>286</v>
      </c>
      <c r="B50" s="27">
        <v>79270566</v>
      </c>
      <c r="C50" s="21" t="s">
        <v>9</v>
      </c>
      <c r="D50" s="143">
        <v>56038942</v>
      </c>
      <c r="E50" s="63">
        <v>0.707</v>
      </c>
      <c r="F50" s="21" t="s">
        <v>9</v>
      </c>
      <c r="G50" s="238">
        <v>4186942</v>
      </c>
      <c r="H50" s="115" t="s">
        <v>286</v>
      </c>
      <c r="I50" s="166">
        <v>79271</v>
      </c>
      <c r="J50" s="173" t="s">
        <v>9</v>
      </c>
      <c r="K50" s="166">
        <v>56039</v>
      </c>
      <c r="L50" s="63">
        <v>0.707</v>
      </c>
      <c r="M50" s="21" t="s">
        <v>9</v>
      </c>
      <c r="N50" s="166">
        <v>4187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60" customFormat="1" ht="39.75" customHeight="1">
      <c r="A51" s="115" t="s">
        <v>368</v>
      </c>
      <c r="B51" s="27">
        <v>17229458</v>
      </c>
      <c r="C51" s="21" t="s">
        <v>9</v>
      </c>
      <c r="D51" s="143">
        <v>19269033</v>
      </c>
      <c r="E51" s="63">
        <v>1.118</v>
      </c>
      <c r="F51" s="21" t="s">
        <v>9</v>
      </c>
      <c r="G51" s="238">
        <v>-729133</v>
      </c>
      <c r="H51" s="115" t="s">
        <v>368</v>
      </c>
      <c r="I51" s="166">
        <v>17229</v>
      </c>
      <c r="J51" s="173" t="s">
        <v>9</v>
      </c>
      <c r="K51" s="166">
        <v>19269</v>
      </c>
      <c r="L51" s="63">
        <v>1.118</v>
      </c>
      <c r="M51" s="21" t="s">
        <v>9</v>
      </c>
      <c r="N51" s="166">
        <v>-729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78" customFormat="1" ht="12.75">
      <c r="A52" s="147"/>
      <c r="B52" s="246"/>
      <c r="C52" s="246"/>
      <c r="D52" s="151"/>
      <c r="E52" s="247"/>
      <c r="F52" s="248"/>
      <c r="H52" s="147"/>
      <c r="I52" s="246"/>
      <c r="J52" s="246"/>
      <c r="K52" s="151"/>
      <c r="L52" s="247"/>
      <c r="M52" s="248"/>
    </row>
    <row r="53" spans="1:13" s="78" customFormat="1" ht="12.75">
      <c r="A53" s="147"/>
      <c r="B53" s="246"/>
      <c r="C53" s="246"/>
      <c r="D53" s="151"/>
      <c r="E53" s="247"/>
      <c r="F53" s="248"/>
      <c r="H53" s="147"/>
      <c r="I53" s="246"/>
      <c r="J53" s="246"/>
      <c r="K53" s="151"/>
      <c r="L53" s="247"/>
      <c r="M53" s="248"/>
    </row>
    <row r="54" spans="1:13" s="78" customFormat="1" ht="12.75">
      <c r="A54" s="147"/>
      <c r="B54" s="246"/>
      <c r="C54" s="246"/>
      <c r="D54" s="151"/>
      <c r="E54" s="247"/>
      <c r="F54" s="248"/>
      <c r="H54" s="147"/>
      <c r="I54" s="246"/>
      <c r="J54" s="246"/>
      <c r="K54" s="151"/>
      <c r="L54" s="247"/>
      <c r="M54" s="248"/>
    </row>
    <row r="55" spans="1:13" s="78" customFormat="1" ht="12.75">
      <c r="A55" s="147"/>
      <c r="B55" s="246"/>
      <c r="C55" s="246"/>
      <c r="D55" s="151"/>
      <c r="E55" s="247"/>
      <c r="F55" s="248"/>
      <c r="I55" s="246"/>
      <c r="J55" s="246"/>
      <c r="K55" s="151"/>
      <c r="L55" s="247"/>
      <c r="M55" s="248"/>
    </row>
    <row r="56" spans="1:13" s="78" customFormat="1" ht="12.75">
      <c r="A56" s="147"/>
      <c r="B56" s="246"/>
      <c r="C56" s="246"/>
      <c r="D56" s="151"/>
      <c r="E56" s="247"/>
      <c r="F56" s="248"/>
      <c r="I56" s="246"/>
      <c r="J56" s="246"/>
      <c r="K56" s="151"/>
      <c r="L56" s="247"/>
      <c r="M56" s="248"/>
    </row>
    <row r="57" spans="1:13" s="78" customFormat="1" ht="12.75">
      <c r="A57" s="147"/>
      <c r="B57" s="246"/>
      <c r="C57" s="246"/>
      <c r="D57" s="151"/>
      <c r="E57" s="247"/>
      <c r="F57" s="248"/>
      <c r="I57" s="246"/>
      <c r="J57" s="246"/>
      <c r="K57" s="151"/>
      <c r="L57" s="247"/>
      <c r="M57" s="248"/>
    </row>
    <row r="58" spans="1:13" ht="12.75">
      <c r="A58" s="249"/>
      <c r="B58" s="250"/>
      <c r="C58" s="250"/>
      <c r="D58" s="34"/>
      <c r="E58" s="247"/>
      <c r="F58" s="251"/>
      <c r="I58" s="250"/>
      <c r="J58" s="250"/>
      <c r="K58" s="34"/>
      <c r="L58" s="247"/>
      <c r="M58" s="251"/>
    </row>
    <row r="59" spans="1:13" ht="14.25">
      <c r="A59" s="91"/>
      <c r="B59" s="250"/>
      <c r="C59" s="250"/>
      <c r="D59" s="34"/>
      <c r="E59" s="196"/>
      <c r="F59" s="251"/>
      <c r="I59" s="250"/>
      <c r="J59" s="250"/>
      <c r="K59" s="34"/>
      <c r="L59" s="196"/>
      <c r="M59" s="251"/>
    </row>
    <row r="60" spans="1:13" ht="12.75">
      <c r="A60" s="81" t="s">
        <v>272</v>
      </c>
      <c r="B60" s="129"/>
      <c r="C60" s="129"/>
      <c r="D60" s="129"/>
      <c r="E60" s="155"/>
      <c r="F60" s="197"/>
      <c r="I60" s="129"/>
      <c r="J60" s="129"/>
      <c r="K60" s="129"/>
      <c r="L60" s="155"/>
      <c r="M60" s="197"/>
    </row>
    <row r="61" spans="1:13" ht="12.75">
      <c r="A61" s="2"/>
      <c r="B61" s="252"/>
      <c r="C61" s="253"/>
      <c r="D61" s="133"/>
      <c r="E61" s="254"/>
      <c r="F61" s="255"/>
      <c r="I61" s="252"/>
      <c r="J61" s="253"/>
      <c r="K61" s="133"/>
      <c r="L61" s="254"/>
      <c r="M61" s="255"/>
    </row>
    <row r="62" spans="1:13" ht="12.75">
      <c r="A62" s="2"/>
      <c r="B62" s="252"/>
      <c r="C62" s="253"/>
      <c r="D62" s="133"/>
      <c r="E62" s="254"/>
      <c r="F62" s="256"/>
      <c r="H62" s="81" t="s">
        <v>272</v>
      </c>
      <c r="I62" s="134"/>
      <c r="J62" s="134"/>
      <c r="K62" s="43"/>
      <c r="L62" s="134"/>
      <c r="M62" s="256"/>
    </row>
    <row r="63" spans="1:13" ht="12.75">
      <c r="A63" s="2"/>
      <c r="B63" s="252"/>
      <c r="C63" s="253"/>
      <c r="D63" s="133"/>
      <c r="E63" s="254"/>
      <c r="F63" s="256"/>
      <c r="I63" s="252"/>
      <c r="J63" s="253"/>
      <c r="K63" s="133"/>
      <c r="L63" s="254"/>
      <c r="M63" s="256"/>
    </row>
    <row r="64" spans="1:13" ht="12.75">
      <c r="A64" s="2"/>
      <c r="B64" s="252"/>
      <c r="C64" s="253"/>
      <c r="D64" s="133"/>
      <c r="E64" s="254"/>
      <c r="F64" s="256"/>
      <c r="H64" s="2"/>
      <c r="I64" s="252"/>
      <c r="J64" s="253"/>
      <c r="K64" s="133"/>
      <c r="L64" s="254"/>
      <c r="M64" s="256"/>
    </row>
    <row r="65" spans="1:13" ht="12.75">
      <c r="A65" s="2"/>
      <c r="B65" s="252"/>
      <c r="C65" s="253"/>
      <c r="D65" s="133"/>
      <c r="E65" s="254"/>
      <c r="F65" s="256"/>
      <c r="H65" s="2"/>
      <c r="I65" s="252"/>
      <c r="J65" s="253"/>
      <c r="K65" s="133"/>
      <c r="L65" s="254"/>
      <c r="M65" s="256"/>
    </row>
    <row r="66" spans="1:13" ht="12.75">
      <c r="A66" s="2"/>
      <c r="B66" s="252"/>
      <c r="C66" s="253"/>
      <c r="D66" s="133"/>
      <c r="E66" s="254"/>
      <c r="F66" s="256"/>
      <c r="H66" s="2"/>
      <c r="I66" s="252"/>
      <c r="J66" s="253"/>
      <c r="K66" s="133"/>
      <c r="L66" s="254"/>
      <c r="M66" s="256"/>
    </row>
    <row r="67" spans="2:13" ht="12.75">
      <c r="B67" s="134"/>
      <c r="C67" s="134"/>
      <c r="E67" s="134"/>
      <c r="F67" s="134"/>
      <c r="I67" s="134"/>
      <c r="J67" s="134"/>
      <c r="L67" s="134"/>
      <c r="M67" s="134"/>
    </row>
    <row r="68" spans="2:13" ht="12.75">
      <c r="B68" s="134"/>
      <c r="C68" s="134"/>
      <c r="E68" s="134"/>
      <c r="F68" s="134"/>
      <c r="I68" s="134"/>
      <c r="J68" s="134"/>
      <c r="L68" s="134"/>
      <c r="M68" s="134"/>
    </row>
    <row r="69" spans="1:13" ht="12.75">
      <c r="A69" s="2" t="s">
        <v>134</v>
      </c>
      <c r="B69" s="134"/>
      <c r="C69" s="134"/>
      <c r="D69" s="43"/>
      <c r="E69" s="134"/>
      <c r="F69" s="134"/>
      <c r="H69" s="81"/>
      <c r="I69" s="134"/>
      <c r="J69" s="134"/>
      <c r="K69" s="43"/>
      <c r="L69" s="134"/>
      <c r="M69" s="134"/>
    </row>
    <row r="70" spans="1:13" ht="12.75">
      <c r="A70" s="2" t="s">
        <v>136</v>
      </c>
      <c r="B70" s="43"/>
      <c r="C70" s="43"/>
      <c r="D70" s="43"/>
      <c r="E70" s="134"/>
      <c r="F70" s="134"/>
      <c r="H70" s="147"/>
      <c r="I70" s="43"/>
      <c r="J70" s="43"/>
      <c r="K70" s="43"/>
      <c r="L70" s="134"/>
      <c r="M70" s="134"/>
    </row>
    <row r="71" spans="1:13" ht="12.75">
      <c r="A71" s="43"/>
      <c r="B71" s="43"/>
      <c r="C71" s="43"/>
      <c r="D71" s="43"/>
      <c r="E71" s="134"/>
      <c r="F71" s="134"/>
      <c r="H71" s="147"/>
      <c r="I71" s="43"/>
      <c r="J71" s="43"/>
      <c r="K71" s="43"/>
      <c r="L71" s="134"/>
      <c r="M71" s="134"/>
    </row>
    <row r="72" spans="1:13" ht="12.75">
      <c r="A72" s="43"/>
      <c r="B72" s="43"/>
      <c r="C72" s="43"/>
      <c r="D72" s="43"/>
      <c r="E72" s="134"/>
      <c r="F72" s="134"/>
      <c r="H72" s="249"/>
      <c r="I72" s="43"/>
      <c r="J72" s="43"/>
      <c r="K72" s="43"/>
      <c r="L72" s="134"/>
      <c r="M72" s="134"/>
    </row>
    <row r="73" spans="1:8" ht="14.25">
      <c r="A73" s="43"/>
      <c r="B73" s="43"/>
      <c r="C73" s="43"/>
      <c r="D73" s="43"/>
      <c r="E73" s="134"/>
      <c r="F73" s="134"/>
      <c r="H73" s="91"/>
    </row>
    <row r="74" spans="1:6" ht="12.75">
      <c r="A74" s="43"/>
      <c r="B74" s="43"/>
      <c r="C74" s="43"/>
      <c r="D74" s="43"/>
      <c r="E74" s="134"/>
      <c r="F74" s="134"/>
    </row>
    <row r="75" spans="1:8" ht="12.75">
      <c r="A75" s="43"/>
      <c r="B75" s="43"/>
      <c r="C75" s="43"/>
      <c r="D75" s="43"/>
      <c r="E75" s="134"/>
      <c r="F75" s="134"/>
      <c r="H75" s="2"/>
    </row>
    <row r="76" spans="1:8" ht="12.75">
      <c r="A76" s="43"/>
      <c r="B76" s="43"/>
      <c r="C76" s="43"/>
      <c r="D76" s="43"/>
      <c r="E76" s="134"/>
      <c r="F76" s="134"/>
      <c r="H76" s="2"/>
    </row>
    <row r="77" spans="1:8" ht="12.75">
      <c r="A77" s="43"/>
      <c r="B77" s="43"/>
      <c r="C77" s="43"/>
      <c r="D77" s="43"/>
      <c r="E77" s="134"/>
      <c r="F77" s="134"/>
      <c r="H77" s="2"/>
    </row>
    <row r="78" spans="1:6" ht="12.75">
      <c r="A78" s="43"/>
      <c r="B78" s="43"/>
      <c r="C78" s="43"/>
      <c r="D78" s="43"/>
      <c r="E78" s="134"/>
      <c r="F78" s="134"/>
    </row>
    <row r="79" spans="1:6" ht="12.75">
      <c r="A79" s="43"/>
      <c r="B79" s="43"/>
      <c r="C79" s="43"/>
      <c r="D79" s="43"/>
      <c r="E79" s="134"/>
      <c r="F79" s="134"/>
    </row>
    <row r="80" spans="1:6" ht="12.75">
      <c r="A80" s="43"/>
      <c r="B80" s="43"/>
      <c r="C80" s="43"/>
      <c r="D80" s="43"/>
      <c r="E80" s="134"/>
      <c r="F80" s="134"/>
    </row>
    <row r="81" spans="1:6" ht="12.75">
      <c r="A81" s="43"/>
      <c r="B81" s="43"/>
      <c r="C81" s="43"/>
      <c r="D81" s="43"/>
      <c r="E81" s="134"/>
      <c r="F81" s="134"/>
    </row>
    <row r="82" spans="1:6" ht="12.75">
      <c r="A82" s="43"/>
      <c r="B82" s="43"/>
      <c r="C82" s="43"/>
      <c r="D82" s="43"/>
      <c r="E82" s="134"/>
      <c r="F82" s="134"/>
    </row>
    <row r="83" spans="1:6" ht="12.75">
      <c r="A83" s="43"/>
      <c r="B83" s="43"/>
      <c r="C83" s="43"/>
      <c r="D83" s="43"/>
      <c r="E83" s="134"/>
      <c r="F83" s="134"/>
    </row>
    <row r="84" spans="1:6" ht="12.75">
      <c r="A84" s="43"/>
      <c r="B84" s="43"/>
      <c r="C84" s="43"/>
      <c r="D84" s="43"/>
      <c r="E84" s="134"/>
      <c r="F84" s="134"/>
    </row>
    <row r="85" spans="5:6" ht="12.75">
      <c r="E85" s="40"/>
      <c r="F85" s="40"/>
    </row>
    <row r="86" spans="5:6" ht="12.75">
      <c r="E86" s="40"/>
      <c r="F86" s="40"/>
    </row>
    <row r="87" spans="5:6" ht="12.75">
      <c r="E87" s="40"/>
      <c r="F87" s="40"/>
    </row>
    <row r="88" spans="5:6" ht="12.75">
      <c r="E88" s="40"/>
      <c r="F88" s="40"/>
    </row>
    <row r="89" spans="5:8" ht="12.75">
      <c r="E89" s="40"/>
      <c r="F89" s="40"/>
      <c r="H89" s="2" t="s">
        <v>134</v>
      </c>
    </row>
    <row r="90" spans="5:8" ht="12.75">
      <c r="E90" s="40"/>
      <c r="F90" s="40"/>
      <c r="H90" s="2" t="s">
        <v>136</v>
      </c>
    </row>
    <row r="91" spans="5:6" ht="12.75">
      <c r="E91" s="40"/>
      <c r="F91" s="40"/>
    </row>
    <row r="92" spans="5:6" ht="12.75">
      <c r="E92" s="40"/>
      <c r="F92" s="40"/>
    </row>
    <row r="93" spans="5:6" ht="12.75">
      <c r="E93" s="40"/>
      <c r="F93" s="40"/>
    </row>
    <row r="94" spans="5:6" ht="12.75">
      <c r="E94" s="40"/>
      <c r="F94" s="40"/>
    </row>
    <row r="95" spans="5:6" ht="12.75">
      <c r="E95" s="40"/>
      <c r="F95" s="40"/>
    </row>
    <row r="96" spans="5:6" ht="12.75">
      <c r="E96" s="40"/>
      <c r="F96" s="40"/>
    </row>
    <row r="97" spans="5:6" ht="12.75">
      <c r="E97" s="40"/>
      <c r="F97" s="40"/>
    </row>
    <row r="98" spans="5:6" ht="12.75">
      <c r="E98" s="40"/>
      <c r="F98" s="40"/>
    </row>
    <row r="99" spans="5:6" ht="12.75">
      <c r="E99" s="40"/>
      <c r="F99" s="40"/>
    </row>
    <row r="100" spans="5:6" ht="12.75">
      <c r="E100" s="40"/>
      <c r="F100" s="40"/>
    </row>
    <row r="101" spans="5:6" ht="12.75">
      <c r="E101" s="40"/>
      <c r="F101" s="40"/>
    </row>
    <row r="102" spans="5:6" ht="12.75">
      <c r="E102" s="40"/>
      <c r="F102" s="40"/>
    </row>
    <row r="103" spans="5:6" ht="12.75">
      <c r="E103" s="40"/>
      <c r="F103" s="40"/>
    </row>
    <row r="104" spans="5:6" ht="12.75">
      <c r="E104" s="40"/>
      <c r="F104" s="40"/>
    </row>
    <row r="105" spans="5:6" ht="12.75">
      <c r="E105" s="40"/>
      <c r="F105" s="40"/>
    </row>
    <row r="106" spans="5:6" ht="12.75">
      <c r="E106" s="40"/>
      <c r="F106" s="40"/>
    </row>
    <row r="107" spans="5:6" ht="12.75">
      <c r="E107" s="40"/>
      <c r="F107" s="40"/>
    </row>
    <row r="108" spans="5:6" ht="12.75">
      <c r="E108" s="40"/>
      <c r="F108" s="40"/>
    </row>
    <row r="109" spans="5:6" ht="12.75">
      <c r="E109" s="40"/>
      <c r="F109" s="40"/>
    </row>
    <row r="110" spans="5:6" ht="12.75">
      <c r="E110" s="40"/>
      <c r="F110" s="40"/>
    </row>
    <row r="111" spans="5:6" ht="12.75">
      <c r="E111" s="40"/>
      <c r="F111" s="40"/>
    </row>
    <row r="112" spans="5:6" ht="12.75">
      <c r="E112" s="40"/>
      <c r="F112" s="40"/>
    </row>
    <row r="113" spans="5:6" ht="12.75">
      <c r="E113" s="40"/>
      <c r="F113" s="40"/>
    </row>
    <row r="114" spans="5:6" ht="12.75">
      <c r="E114" s="40"/>
      <c r="F114" s="40"/>
    </row>
    <row r="115" spans="5:6" ht="12.75">
      <c r="E115" s="40"/>
      <c r="F115" s="40"/>
    </row>
    <row r="116" spans="5:6" ht="12.75">
      <c r="E116" s="40"/>
      <c r="F116" s="40"/>
    </row>
    <row r="117" spans="5:6" ht="12.75">
      <c r="E117" s="40"/>
      <c r="F117" s="40"/>
    </row>
    <row r="118" spans="5:6" ht="12.75">
      <c r="E118" s="40"/>
      <c r="F118" s="40"/>
    </row>
    <row r="119" spans="5:6" ht="12.75">
      <c r="E119" s="40"/>
      <c r="F119" s="40"/>
    </row>
    <row r="120" spans="5:6" ht="12.75">
      <c r="E120" s="40"/>
      <c r="F120" s="40"/>
    </row>
    <row r="121" spans="5:6" ht="12.75">
      <c r="E121" s="40"/>
      <c r="F121" s="40"/>
    </row>
    <row r="122" spans="5:6" ht="12.75">
      <c r="E122" s="40"/>
      <c r="F122" s="40"/>
    </row>
    <row r="123" spans="5:6" ht="12.75">
      <c r="E123" s="40"/>
      <c r="F123" s="40"/>
    </row>
    <row r="124" spans="5:6" ht="12.75">
      <c r="E124" s="40"/>
      <c r="F124" s="40"/>
    </row>
    <row r="125" spans="5:6" ht="12.75">
      <c r="E125" s="40"/>
      <c r="F125" s="40"/>
    </row>
    <row r="126" spans="5:6" ht="12.75">
      <c r="E126" s="40"/>
      <c r="F126" s="40"/>
    </row>
    <row r="127" spans="5:6" ht="12.75">
      <c r="E127" s="40"/>
      <c r="F127" s="40"/>
    </row>
    <row r="128" spans="5:6" ht="12.75">
      <c r="E128" s="40"/>
      <c r="F128" s="40"/>
    </row>
    <row r="129" spans="5:6" ht="12.75">
      <c r="E129" s="40"/>
      <c r="F129" s="40"/>
    </row>
    <row r="130" spans="5:6" ht="12.75">
      <c r="E130" s="40"/>
      <c r="F130" s="40"/>
    </row>
    <row r="131" spans="5:6" ht="12.75">
      <c r="E131" s="40"/>
      <c r="F131" s="40"/>
    </row>
    <row r="132" spans="5:6" ht="12.75">
      <c r="E132" s="40"/>
      <c r="F132" s="40"/>
    </row>
    <row r="133" spans="5:6" ht="12.75">
      <c r="E133" s="40"/>
      <c r="F133" s="40"/>
    </row>
    <row r="134" spans="5:6" ht="12.75">
      <c r="E134" s="40"/>
      <c r="F134" s="40"/>
    </row>
    <row r="135" spans="5:6" ht="12.75">
      <c r="E135" s="40"/>
      <c r="F135" s="40"/>
    </row>
    <row r="136" spans="5:6" ht="12.75">
      <c r="E136" s="40"/>
      <c r="F136" s="40"/>
    </row>
    <row r="137" spans="5:6" ht="12.75">
      <c r="E137" s="40"/>
      <c r="F137" s="40"/>
    </row>
    <row r="138" spans="5:6" ht="12.75">
      <c r="E138" s="40"/>
      <c r="F138" s="40"/>
    </row>
    <row r="139" spans="5:6" ht="12.75">
      <c r="E139" s="40"/>
      <c r="F139" s="40"/>
    </row>
    <row r="140" spans="5:6" ht="12.75">
      <c r="E140" s="40"/>
      <c r="F140" s="40"/>
    </row>
    <row r="141" spans="5:6" ht="12.75">
      <c r="E141" s="40"/>
      <c r="F141" s="40"/>
    </row>
    <row r="142" spans="5:6" ht="12.75">
      <c r="E142" s="40"/>
      <c r="F142" s="40"/>
    </row>
    <row r="143" spans="5:6" ht="12.75">
      <c r="E143" s="40"/>
      <c r="F143" s="40"/>
    </row>
    <row r="144" spans="5:6" ht="12.75">
      <c r="E144" s="40"/>
      <c r="F144" s="40"/>
    </row>
    <row r="145" spans="5:6" ht="12.75">
      <c r="E145" s="40"/>
      <c r="F145" s="40"/>
    </row>
    <row r="146" spans="5:6" ht="12.75">
      <c r="E146" s="40"/>
      <c r="F146" s="40"/>
    </row>
    <row r="147" spans="5:6" ht="12.75">
      <c r="E147" s="40"/>
      <c r="F147" s="40"/>
    </row>
    <row r="148" spans="5:6" ht="12.75">
      <c r="E148" s="40"/>
      <c r="F148" s="40"/>
    </row>
    <row r="149" spans="5:6" ht="12.75">
      <c r="E149" s="40"/>
      <c r="F149" s="40"/>
    </row>
    <row r="150" spans="5:6" ht="12.75">
      <c r="E150" s="40"/>
      <c r="F150" s="40"/>
    </row>
    <row r="151" spans="5:6" ht="12.75">
      <c r="E151" s="40"/>
      <c r="F151" s="40"/>
    </row>
    <row r="152" spans="5:6" ht="12.75">
      <c r="E152" s="40"/>
      <c r="F152" s="40"/>
    </row>
    <row r="153" spans="5:6" ht="12.75">
      <c r="E153" s="40"/>
      <c r="F153" s="40"/>
    </row>
    <row r="154" spans="5:6" ht="12.75">
      <c r="E154" s="40"/>
      <c r="F154" s="40"/>
    </row>
    <row r="155" spans="5:6" ht="12.75">
      <c r="E155" s="40"/>
      <c r="F155" s="40"/>
    </row>
    <row r="156" spans="5:6" ht="12.75">
      <c r="E156" s="40"/>
      <c r="F156" s="40"/>
    </row>
    <row r="157" spans="5:6" ht="12.75">
      <c r="E157" s="40"/>
      <c r="F157" s="40"/>
    </row>
    <row r="158" spans="5:6" ht="12.75">
      <c r="E158" s="40"/>
      <c r="F158" s="40"/>
    </row>
    <row r="159" spans="5:6" ht="12.75">
      <c r="E159" s="40"/>
      <c r="F159" s="40"/>
    </row>
    <row r="160" spans="5:6" ht="12.75">
      <c r="E160" s="40"/>
      <c r="F160" s="40"/>
    </row>
    <row r="161" spans="5:6" ht="12.75">
      <c r="E161" s="40"/>
      <c r="F161" s="40"/>
    </row>
    <row r="162" spans="5:6" ht="12.75">
      <c r="E162" s="40"/>
      <c r="F162" s="40"/>
    </row>
    <row r="163" spans="5:6" ht="12.75">
      <c r="E163" s="40"/>
      <c r="F163" s="40"/>
    </row>
    <row r="164" spans="5:6" ht="12.75">
      <c r="E164" s="40"/>
      <c r="F164" s="40"/>
    </row>
    <row r="165" spans="5:6" ht="12.75">
      <c r="E165" s="40"/>
      <c r="F165" s="40"/>
    </row>
    <row r="166" spans="5:6" ht="12.75">
      <c r="E166" s="40"/>
      <c r="F166" s="40"/>
    </row>
    <row r="167" spans="5:6" ht="12.75">
      <c r="E167" s="40"/>
      <c r="F167" s="40"/>
    </row>
    <row r="168" spans="5:6" ht="12.75">
      <c r="E168" s="40"/>
      <c r="F168" s="40"/>
    </row>
    <row r="169" spans="5:6" ht="12.75">
      <c r="E169" s="40"/>
      <c r="F169" s="40"/>
    </row>
    <row r="170" spans="5:6" ht="12.75">
      <c r="E170" s="40"/>
      <c r="F170" s="40"/>
    </row>
    <row r="171" spans="5:6" ht="12.75">
      <c r="E171" s="40"/>
      <c r="F171" s="40"/>
    </row>
    <row r="172" spans="5:6" ht="12.75">
      <c r="E172" s="40"/>
      <c r="F172" s="40"/>
    </row>
    <row r="173" spans="5:6" ht="12.75">
      <c r="E173" s="40"/>
      <c r="F173" s="40"/>
    </row>
    <row r="174" spans="5:6" ht="12.75">
      <c r="E174" s="40"/>
      <c r="F174" s="40"/>
    </row>
    <row r="175" spans="5:6" ht="12.75">
      <c r="E175" s="40"/>
      <c r="F175" s="40"/>
    </row>
    <row r="176" spans="5:6" ht="12.75">
      <c r="E176" s="40"/>
      <c r="F176" s="40"/>
    </row>
    <row r="177" spans="5:6" ht="12.75">
      <c r="E177" s="40"/>
      <c r="F177" s="40"/>
    </row>
    <row r="178" spans="5:6" ht="12.75">
      <c r="E178" s="40"/>
      <c r="F178" s="40"/>
    </row>
    <row r="179" spans="5:6" ht="12.75">
      <c r="E179" s="40"/>
      <c r="F179" s="40"/>
    </row>
    <row r="180" spans="5:6" ht="12.75">
      <c r="E180" s="40"/>
      <c r="F180" s="40"/>
    </row>
    <row r="181" spans="5:6" ht="12.75">
      <c r="E181" s="40"/>
      <c r="F181" s="40"/>
    </row>
    <row r="182" spans="5:6" ht="12.75">
      <c r="E182" s="40"/>
      <c r="F182" s="40"/>
    </row>
    <row r="183" spans="5:6" ht="12.75">
      <c r="E183" s="40"/>
      <c r="F183" s="40"/>
    </row>
    <row r="184" spans="5:6" ht="12.75">
      <c r="E184" s="40"/>
      <c r="F184" s="40"/>
    </row>
    <row r="185" spans="5:6" ht="12.75">
      <c r="E185" s="40"/>
      <c r="F185" s="40"/>
    </row>
    <row r="186" spans="5:6" ht="12.75">
      <c r="E186" s="40"/>
      <c r="F186" s="40"/>
    </row>
    <row r="187" spans="5:6" ht="12.75">
      <c r="E187" s="40"/>
      <c r="F187" s="40"/>
    </row>
    <row r="188" spans="5:6" ht="12.75">
      <c r="E188" s="40"/>
      <c r="F188" s="40"/>
    </row>
    <row r="189" spans="5:6" ht="12.75">
      <c r="E189" s="40"/>
      <c r="F189" s="40"/>
    </row>
    <row r="190" spans="5:6" ht="12.75">
      <c r="E190" s="40"/>
      <c r="F190" s="40"/>
    </row>
    <row r="191" spans="5:6" ht="12.75">
      <c r="E191" s="40"/>
      <c r="F191" s="40"/>
    </row>
    <row r="192" spans="5:6" ht="12.75">
      <c r="E192" s="40"/>
      <c r="F192" s="40"/>
    </row>
    <row r="193" spans="5:6" ht="12.75">
      <c r="E193" s="40"/>
      <c r="F193" s="40"/>
    </row>
    <row r="194" spans="5:6" ht="12.75">
      <c r="E194" s="40"/>
      <c r="F194" s="40"/>
    </row>
    <row r="195" spans="5:6" ht="12.75">
      <c r="E195" s="40"/>
      <c r="F195" s="40"/>
    </row>
    <row r="196" spans="5:6" ht="12.75">
      <c r="E196" s="40"/>
      <c r="F196" s="40"/>
    </row>
    <row r="197" spans="5:6" ht="12.75">
      <c r="E197" s="40"/>
      <c r="F197" s="40"/>
    </row>
    <row r="198" spans="5:6" ht="12.75">
      <c r="E198" s="40"/>
      <c r="F198" s="40"/>
    </row>
    <row r="199" spans="5:6" ht="12.75">
      <c r="E199" s="40"/>
      <c r="F199" s="40"/>
    </row>
    <row r="200" spans="5:6" ht="12.75">
      <c r="E200" s="40"/>
      <c r="F200" s="40"/>
    </row>
    <row r="201" spans="5:6" ht="12.75">
      <c r="E201" s="40"/>
      <c r="F201" s="40"/>
    </row>
    <row r="202" spans="5:6" ht="12.75">
      <c r="E202" s="40"/>
      <c r="F202" s="40"/>
    </row>
    <row r="203" spans="5:6" ht="12.75">
      <c r="E203" s="40"/>
      <c r="F203" s="40"/>
    </row>
    <row r="204" spans="5:6" ht="12.75">
      <c r="E204" s="40"/>
      <c r="F204" s="40"/>
    </row>
    <row r="205" spans="5:6" ht="12.75">
      <c r="E205" s="40"/>
      <c r="F205" s="40"/>
    </row>
    <row r="206" spans="5:6" ht="12.75">
      <c r="E206" s="40"/>
      <c r="F206" s="40"/>
    </row>
    <row r="207" spans="5:6" ht="12.75">
      <c r="E207" s="40"/>
      <c r="F207" s="40"/>
    </row>
    <row r="208" spans="5:6" ht="12.75">
      <c r="E208" s="40"/>
      <c r="F208" s="40"/>
    </row>
    <row r="209" spans="5:6" ht="12.75">
      <c r="E209" s="40"/>
      <c r="F209" s="40"/>
    </row>
    <row r="210" spans="5:6" ht="12.75">
      <c r="E210" s="40"/>
      <c r="F210" s="40"/>
    </row>
    <row r="211" spans="5:6" ht="12.75">
      <c r="E211" s="40"/>
      <c r="F211" s="40"/>
    </row>
    <row r="212" spans="5:6" ht="12.75">
      <c r="E212" s="40"/>
      <c r="F212" s="40"/>
    </row>
    <row r="213" spans="5:6" ht="12.75">
      <c r="E213" s="40"/>
      <c r="F213" s="40"/>
    </row>
    <row r="214" spans="5:6" ht="12.75">
      <c r="E214" s="40"/>
      <c r="F214" s="40"/>
    </row>
    <row r="215" spans="5:6" ht="12.75">
      <c r="E215" s="40"/>
      <c r="F215" s="40"/>
    </row>
    <row r="216" spans="5:6" ht="12.75">
      <c r="E216" s="40"/>
      <c r="F216" s="40"/>
    </row>
    <row r="217" spans="5:6" ht="12.75">
      <c r="E217" s="40"/>
      <c r="F217" s="40"/>
    </row>
    <row r="218" spans="5:6" ht="12.75">
      <c r="E218" s="40"/>
      <c r="F218" s="40"/>
    </row>
    <row r="219" spans="5:6" ht="12.75">
      <c r="E219" s="40"/>
      <c r="F219" s="40"/>
    </row>
    <row r="220" spans="5:6" ht="12.75">
      <c r="E220" s="40"/>
      <c r="F220" s="40"/>
    </row>
    <row r="221" spans="5:6" ht="12.75">
      <c r="E221" s="40"/>
      <c r="F221" s="40"/>
    </row>
    <row r="222" spans="5:6" ht="12.75">
      <c r="E222" s="40"/>
      <c r="F222" s="40"/>
    </row>
    <row r="223" spans="5:6" ht="12.75">
      <c r="E223" s="40"/>
      <c r="F223" s="40"/>
    </row>
    <row r="224" spans="5:6" ht="12.75">
      <c r="E224" s="40"/>
      <c r="F224" s="40"/>
    </row>
    <row r="225" spans="5:6" ht="12.75">
      <c r="E225" s="40"/>
      <c r="F225" s="40"/>
    </row>
    <row r="226" spans="5:6" ht="12.75">
      <c r="E226" s="40"/>
      <c r="F226" s="40"/>
    </row>
    <row r="227" spans="5:6" ht="12.75">
      <c r="E227" s="40"/>
      <c r="F227" s="40"/>
    </row>
    <row r="228" spans="5:6" ht="12.75">
      <c r="E228" s="40"/>
      <c r="F228" s="40"/>
    </row>
    <row r="229" spans="5:6" ht="12.75">
      <c r="E229" s="40"/>
      <c r="F229" s="40"/>
    </row>
    <row r="230" spans="5:6" ht="12.75">
      <c r="E230" s="40"/>
      <c r="F230" s="40"/>
    </row>
    <row r="231" spans="5:6" ht="12.75">
      <c r="E231" s="40"/>
      <c r="F231" s="40"/>
    </row>
    <row r="232" spans="5:6" ht="12.75">
      <c r="E232" s="40"/>
      <c r="F232" s="40"/>
    </row>
    <row r="233" spans="5:6" ht="12.75">
      <c r="E233" s="40"/>
      <c r="F233" s="40"/>
    </row>
    <row r="234" spans="5:6" ht="12.75">
      <c r="E234" s="40"/>
      <c r="F234" s="40"/>
    </row>
    <row r="235" spans="5:6" ht="12.75">
      <c r="E235" s="40"/>
      <c r="F235" s="40"/>
    </row>
    <row r="236" spans="5:6" ht="12.75">
      <c r="E236" s="40"/>
      <c r="F236" s="40"/>
    </row>
    <row r="237" spans="5:6" ht="12.75">
      <c r="E237" s="40"/>
      <c r="F237" s="40"/>
    </row>
    <row r="238" spans="5:6" ht="12.75">
      <c r="E238" s="40"/>
      <c r="F238" s="40"/>
    </row>
    <row r="239" spans="5:6" ht="12.75">
      <c r="E239" s="40"/>
      <c r="F239" s="40"/>
    </row>
    <row r="240" spans="5:6" ht="12.75">
      <c r="E240" s="40"/>
      <c r="F240" s="40"/>
    </row>
    <row r="241" spans="5:6" ht="12.75">
      <c r="E241" s="40"/>
      <c r="F241" s="40"/>
    </row>
    <row r="242" spans="5:6" ht="12.75">
      <c r="E242" s="40"/>
      <c r="F242" s="40"/>
    </row>
    <row r="243" spans="5:6" ht="12.75">
      <c r="E243" s="40"/>
      <c r="F243" s="40"/>
    </row>
    <row r="244" spans="5:6" ht="12.75">
      <c r="E244" s="40"/>
      <c r="F244" s="40"/>
    </row>
    <row r="245" spans="5:6" ht="12.75">
      <c r="E245" s="40"/>
      <c r="F245" s="40"/>
    </row>
    <row r="246" spans="5:6" ht="12.75">
      <c r="E246" s="40"/>
      <c r="F246" s="40"/>
    </row>
    <row r="247" spans="5:6" ht="12.75">
      <c r="E247" s="40"/>
      <c r="F247" s="40"/>
    </row>
    <row r="248" spans="5:6" ht="12.75">
      <c r="E248" s="40"/>
      <c r="F248" s="40"/>
    </row>
    <row r="249" spans="5:6" ht="12.75">
      <c r="E249" s="40"/>
      <c r="F249" s="40"/>
    </row>
    <row r="250" spans="5:6" ht="12.75">
      <c r="E250" s="40"/>
      <c r="F250" s="40"/>
    </row>
    <row r="251" spans="5:6" ht="12.75">
      <c r="E251" s="40"/>
      <c r="F251" s="40"/>
    </row>
    <row r="252" spans="5:6" ht="12.75">
      <c r="E252" s="40"/>
      <c r="F252" s="40"/>
    </row>
    <row r="253" spans="5:6" ht="12.75">
      <c r="E253" s="40"/>
      <c r="F253" s="40"/>
    </row>
    <row r="254" spans="5:6" ht="12.75">
      <c r="E254" s="40"/>
      <c r="F254" s="40"/>
    </row>
    <row r="255" spans="5:6" ht="12.75">
      <c r="E255" s="40"/>
      <c r="F255" s="40"/>
    </row>
    <row r="256" spans="5:6" ht="12.75">
      <c r="E256" s="40"/>
      <c r="F256" s="40"/>
    </row>
    <row r="257" spans="5:6" ht="12.75">
      <c r="E257" s="40"/>
      <c r="F257" s="40"/>
    </row>
    <row r="258" spans="5:6" ht="12.75">
      <c r="E258" s="40"/>
      <c r="F258" s="40"/>
    </row>
    <row r="259" spans="5:6" ht="12.75">
      <c r="E259" s="40"/>
      <c r="F259" s="40"/>
    </row>
    <row r="260" spans="5:6" ht="12.75">
      <c r="E260" s="40"/>
      <c r="F260" s="40"/>
    </row>
    <row r="261" spans="5:6" ht="12.75">
      <c r="E261" s="40"/>
      <c r="F261" s="40"/>
    </row>
    <row r="262" spans="5:6" ht="12.75">
      <c r="E262" s="40"/>
      <c r="F262" s="40"/>
    </row>
    <row r="263" spans="5:6" ht="12.75">
      <c r="E263" s="40"/>
      <c r="F263" s="40"/>
    </row>
    <row r="264" spans="5:6" ht="12.75">
      <c r="E264" s="40"/>
      <c r="F264" s="40"/>
    </row>
    <row r="265" spans="5:6" ht="12.75">
      <c r="E265" s="40"/>
      <c r="F265" s="40"/>
    </row>
    <row r="266" spans="5:6" ht="12.75">
      <c r="E266" s="40"/>
      <c r="F266" s="40"/>
    </row>
    <row r="267" spans="5:6" ht="12.75">
      <c r="E267" s="40"/>
      <c r="F267" s="40"/>
    </row>
    <row r="268" spans="5:6" ht="12.75">
      <c r="E268" s="40"/>
      <c r="F268" s="40"/>
    </row>
    <row r="269" spans="5:6" ht="12.75">
      <c r="E269" s="40"/>
      <c r="F269" s="40"/>
    </row>
    <row r="270" spans="5:6" ht="12.75">
      <c r="E270" s="40"/>
      <c r="F270" s="40"/>
    </row>
    <row r="271" spans="5:6" ht="12.75">
      <c r="E271" s="40"/>
      <c r="F271" s="40"/>
    </row>
    <row r="272" spans="5:6" ht="12.75">
      <c r="E272" s="40"/>
      <c r="F272" s="40"/>
    </row>
    <row r="273" spans="5:6" ht="12.75">
      <c r="E273" s="40"/>
      <c r="F273" s="40"/>
    </row>
    <row r="274" spans="5:6" ht="12.75">
      <c r="E274" s="40"/>
      <c r="F274" s="40"/>
    </row>
    <row r="275" spans="5:6" ht="12.75">
      <c r="E275" s="40"/>
      <c r="F275" s="40"/>
    </row>
    <row r="276" spans="5:6" ht="12.75">
      <c r="E276" s="40"/>
      <c r="F276" s="40"/>
    </row>
    <row r="277" spans="5:6" ht="12.75">
      <c r="E277" s="40"/>
      <c r="F277" s="40"/>
    </row>
    <row r="278" spans="5:6" ht="12.75">
      <c r="E278" s="40"/>
      <c r="F278" s="40"/>
    </row>
    <row r="279" spans="5:6" ht="12.75">
      <c r="E279" s="40"/>
      <c r="F279" s="40"/>
    </row>
    <row r="280" spans="5:6" ht="12.75">
      <c r="E280" s="40"/>
      <c r="F280" s="40"/>
    </row>
    <row r="281" spans="5:6" ht="12.75">
      <c r="E281" s="40"/>
      <c r="F281" s="40"/>
    </row>
    <row r="282" spans="5:6" ht="12.75">
      <c r="E282" s="40"/>
      <c r="F282" s="40"/>
    </row>
    <row r="283" spans="5:6" ht="12.75">
      <c r="E283" s="40"/>
      <c r="F283" s="40"/>
    </row>
    <row r="284" spans="5:6" ht="12.75">
      <c r="E284" s="40"/>
      <c r="F284" s="40"/>
    </row>
    <row r="285" spans="5:6" ht="12.75">
      <c r="E285" s="40"/>
      <c r="F285" s="40"/>
    </row>
    <row r="286" spans="5:6" ht="12.75">
      <c r="E286" s="40"/>
      <c r="F286" s="40"/>
    </row>
    <row r="287" spans="5:6" ht="12.75">
      <c r="E287" s="40"/>
      <c r="F287" s="40"/>
    </row>
    <row r="288" spans="5:6" ht="12.75">
      <c r="E288" s="40"/>
      <c r="F288" s="40"/>
    </row>
    <row r="289" spans="5:6" ht="12.75">
      <c r="E289" s="40"/>
      <c r="F289" s="40"/>
    </row>
    <row r="290" spans="5:6" ht="12.75">
      <c r="E290" s="40"/>
      <c r="F290" s="40"/>
    </row>
    <row r="291" spans="5:6" ht="12.75">
      <c r="E291" s="40"/>
      <c r="F291" s="40"/>
    </row>
    <row r="292" spans="5:6" ht="12.75">
      <c r="E292" s="40"/>
      <c r="F292" s="40"/>
    </row>
    <row r="293" spans="5:6" ht="12.75">
      <c r="E293" s="40"/>
      <c r="F293" s="40"/>
    </row>
    <row r="294" spans="5:6" ht="12.75">
      <c r="E294" s="40"/>
      <c r="F294" s="40"/>
    </row>
    <row r="295" spans="5:6" ht="12.75">
      <c r="E295" s="40"/>
      <c r="F295" s="40"/>
    </row>
    <row r="296" spans="5:6" ht="12.75">
      <c r="E296" s="40"/>
      <c r="F296" s="40"/>
    </row>
    <row r="297" spans="5:6" ht="12.75">
      <c r="E297" s="40"/>
      <c r="F297" s="40"/>
    </row>
    <row r="298" spans="5:6" ht="12.75">
      <c r="E298" s="40"/>
      <c r="F298" s="40"/>
    </row>
    <row r="299" spans="5:6" ht="12.75">
      <c r="E299" s="40"/>
      <c r="F299" s="40"/>
    </row>
    <row r="300" spans="5:6" ht="12.75">
      <c r="E300" s="40"/>
      <c r="F300" s="40"/>
    </row>
    <row r="301" spans="5:6" ht="12.75">
      <c r="E301" s="40"/>
      <c r="F301" s="40"/>
    </row>
    <row r="302" spans="5:6" ht="12.75">
      <c r="E302" s="40"/>
      <c r="F302" s="40"/>
    </row>
    <row r="303" spans="5:6" ht="12.75">
      <c r="E303" s="40"/>
      <c r="F303" s="40"/>
    </row>
    <row r="304" spans="5:6" ht="12.75">
      <c r="E304" s="40"/>
      <c r="F304" s="40"/>
    </row>
    <row r="305" spans="5:6" ht="12.75">
      <c r="E305" s="40"/>
      <c r="F305" s="40"/>
    </row>
    <row r="306" spans="5:6" ht="12.75">
      <c r="E306" s="40"/>
      <c r="F306" s="40"/>
    </row>
    <row r="307" spans="5:6" ht="12.75">
      <c r="E307" s="40"/>
      <c r="F307" s="40"/>
    </row>
    <row r="308" spans="5:6" ht="12.75">
      <c r="E308" s="40"/>
      <c r="F308" s="40"/>
    </row>
    <row r="309" spans="5:6" ht="12.75">
      <c r="E309" s="40"/>
      <c r="F309" s="40"/>
    </row>
    <row r="310" spans="5:6" ht="12.75">
      <c r="E310" s="40"/>
      <c r="F310" s="40"/>
    </row>
    <row r="311" spans="5:6" ht="12.75">
      <c r="E311" s="40"/>
      <c r="F311" s="40"/>
    </row>
    <row r="312" spans="5:6" ht="12.75">
      <c r="E312" s="40"/>
      <c r="F312" s="40"/>
    </row>
    <row r="313" spans="5:6" ht="12.75">
      <c r="E313" s="40"/>
      <c r="F313" s="40"/>
    </row>
    <row r="314" spans="5:6" ht="12.75">
      <c r="E314" s="40"/>
      <c r="F314" s="40"/>
    </row>
    <row r="315" spans="5:6" ht="12.75">
      <c r="E315" s="40"/>
      <c r="F315" s="40"/>
    </row>
    <row r="316" spans="5:6" ht="12.75">
      <c r="E316" s="40"/>
      <c r="F316" s="40"/>
    </row>
    <row r="317" spans="5:6" ht="12.75">
      <c r="E317" s="40"/>
      <c r="F317" s="40"/>
    </row>
    <row r="318" spans="5:6" ht="12.75">
      <c r="E318" s="40"/>
      <c r="F318" s="40"/>
    </row>
    <row r="319" spans="5:6" ht="12.75">
      <c r="E319" s="40"/>
      <c r="F319" s="40"/>
    </row>
    <row r="320" spans="5:6" ht="12.75">
      <c r="E320" s="40"/>
      <c r="F320" s="40"/>
    </row>
    <row r="321" spans="5:6" ht="12.75">
      <c r="E321" s="40"/>
      <c r="F321" s="40"/>
    </row>
    <row r="322" spans="5:6" ht="12.75">
      <c r="E322" s="40"/>
      <c r="F322" s="40"/>
    </row>
    <row r="323" spans="5:6" ht="12.75">
      <c r="E323" s="40"/>
      <c r="F323" s="40"/>
    </row>
  </sheetData>
  <mergeCells count="6">
    <mergeCell ref="A6:G6"/>
    <mergeCell ref="H6:N6"/>
    <mergeCell ref="A4:G4"/>
    <mergeCell ref="H4:N4"/>
    <mergeCell ref="A5:G5"/>
    <mergeCell ref="H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F1">
      <selection activeCell="F5" sqref="F5"/>
    </sheetView>
  </sheetViews>
  <sheetFormatPr defaultColWidth="9.140625" defaultRowHeight="12.75"/>
  <cols>
    <col min="1" max="1" width="41.00390625" style="198" hidden="1" customWidth="1"/>
    <col min="2" max="2" width="12.28125" style="198" hidden="1" customWidth="1"/>
    <col min="3" max="3" width="13.00390625" style="198" hidden="1" customWidth="1"/>
    <col min="4" max="4" width="12.7109375" style="198" hidden="1" customWidth="1"/>
    <col min="5" max="5" width="12.140625" style="198" hidden="1" customWidth="1"/>
    <col min="6" max="6" width="37.28125" style="198" customWidth="1"/>
    <col min="7" max="7" width="10.421875" style="198" customWidth="1"/>
    <col min="8" max="8" width="9.7109375" style="198" customWidth="1"/>
    <col min="9" max="9" width="7.28125" style="198" customWidth="1"/>
    <col min="10" max="10" width="10.8515625" style="198" customWidth="1"/>
    <col min="11" max="16384" width="9.140625" style="198" customWidth="1"/>
  </cols>
  <sheetData>
    <row r="1" spans="1:10" ht="17.25" customHeight="1">
      <c r="A1" s="36" t="s">
        <v>138</v>
      </c>
      <c r="B1" s="82"/>
      <c r="C1" s="82"/>
      <c r="D1" s="36"/>
      <c r="E1" s="198" t="s">
        <v>369</v>
      </c>
      <c r="F1" s="36" t="s">
        <v>138</v>
      </c>
      <c r="G1" s="82"/>
      <c r="H1" s="82"/>
      <c r="I1" s="36"/>
      <c r="J1" s="227" t="s">
        <v>369</v>
      </c>
    </row>
    <row r="2" spans="1:10" ht="1.5" customHeight="1" hidden="1">
      <c r="A2" s="31"/>
      <c r="B2" s="31"/>
      <c r="C2" s="31"/>
      <c r="E2" s="31"/>
      <c r="F2" s="31"/>
      <c r="G2" s="31"/>
      <c r="H2" s="31"/>
      <c r="J2" s="31"/>
    </row>
    <row r="3" spans="1:10" ht="15.75" customHeight="1">
      <c r="A3" s="31"/>
      <c r="B3" s="31"/>
      <c r="C3" s="31"/>
      <c r="E3" s="31"/>
      <c r="F3" s="31"/>
      <c r="G3" s="31"/>
      <c r="H3" s="31"/>
      <c r="J3" s="31"/>
    </row>
    <row r="4" spans="1:10" ht="20.25">
      <c r="A4" s="89" t="s">
        <v>370</v>
      </c>
      <c r="B4" s="257"/>
      <c r="C4" s="257"/>
      <c r="D4" s="257"/>
      <c r="E4" s="257"/>
      <c r="F4" s="89" t="s">
        <v>370</v>
      </c>
      <c r="G4" s="257"/>
      <c r="H4" s="257"/>
      <c r="I4" s="257"/>
      <c r="J4" s="257"/>
    </row>
    <row r="5" spans="1:10" ht="20.25">
      <c r="A5" s="258" t="s">
        <v>371</v>
      </c>
      <c r="B5" s="259"/>
      <c r="C5" s="259"/>
      <c r="D5" s="259"/>
      <c r="E5" s="259"/>
      <c r="F5" s="258" t="s">
        <v>371</v>
      </c>
      <c r="G5" s="259"/>
      <c r="H5" s="259"/>
      <c r="I5" s="259"/>
      <c r="J5" s="259"/>
    </row>
    <row r="6" spans="1:10" ht="12.75">
      <c r="A6" s="31"/>
      <c r="B6" s="31"/>
      <c r="C6" s="31"/>
      <c r="E6" s="31" t="s">
        <v>140</v>
      </c>
      <c r="F6" s="31"/>
      <c r="G6" s="31"/>
      <c r="H6" s="31"/>
      <c r="J6" s="228" t="s">
        <v>140</v>
      </c>
    </row>
    <row r="7" spans="1:10" ht="67.5">
      <c r="A7" s="97" t="s">
        <v>2</v>
      </c>
      <c r="B7" s="97" t="s">
        <v>223</v>
      </c>
      <c r="C7" s="97" t="s">
        <v>50</v>
      </c>
      <c r="D7" s="97" t="s">
        <v>372</v>
      </c>
      <c r="E7" s="200" t="s">
        <v>143</v>
      </c>
      <c r="F7" s="97" t="s">
        <v>2</v>
      </c>
      <c r="G7" s="97" t="s">
        <v>373</v>
      </c>
      <c r="H7" s="97" t="s">
        <v>50</v>
      </c>
      <c r="I7" s="97" t="s">
        <v>372</v>
      </c>
      <c r="J7" s="4" t="s">
        <v>143</v>
      </c>
    </row>
    <row r="8" spans="1:10" ht="12.75">
      <c r="A8" s="97">
        <v>1</v>
      </c>
      <c r="B8" s="97">
        <v>2</v>
      </c>
      <c r="C8" s="97">
        <v>3</v>
      </c>
      <c r="D8" s="97">
        <v>4</v>
      </c>
      <c r="E8" s="260">
        <v>5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</row>
    <row r="9" spans="1:10" ht="25.5">
      <c r="A9" s="189" t="s">
        <v>374</v>
      </c>
      <c r="B9" s="229">
        <v>0</v>
      </c>
      <c r="C9" s="229">
        <v>9554045</v>
      </c>
      <c r="D9" s="54" t="s">
        <v>63</v>
      </c>
      <c r="E9" s="230">
        <v>442786.02</v>
      </c>
      <c r="F9" s="189" t="s">
        <v>374</v>
      </c>
      <c r="G9" s="261">
        <v>0</v>
      </c>
      <c r="H9" s="262">
        <v>9554</v>
      </c>
      <c r="I9" s="263" t="s">
        <v>63</v>
      </c>
      <c r="J9" s="261">
        <v>443</v>
      </c>
    </row>
    <row r="10" spans="1:10" ht="12.75">
      <c r="A10" s="115" t="s">
        <v>375</v>
      </c>
      <c r="B10" s="233"/>
      <c r="C10" s="233">
        <v>3852320</v>
      </c>
      <c r="D10" s="264" t="s">
        <v>63</v>
      </c>
      <c r="E10" s="265">
        <v>302370.02</v>
      </c>
      <c r="F10" s="115" t="s">
        <v>375</v>
      </c>
      <c r="G10" s="97" t="s">
        <v>9</v>
      </c>
      <c r="H10" s="233">
        <v>3852</v>
      </c>
      <c r="I10" s="266" t="s">
        <v>63</v>
      </c>
      <c r="J10" s="233">
        <v>302</v>
      </c>
    </row>
    <row r="11" spans="1:10" ht="17.25" customHeight="1">
      <c r="A11" s="115" t="s">
        <v>376</v>
      </c>
      <c r="B11" s="233"/>
      <c r="C11" s="233">
        <v>5701725</v>
      </c>
      <c r="D11" s="264" t="s">
        <v>63</v>
      </c>
      <c r="E11" s="265">
        <v>140416</v>
      </c>
      <c r="F11" s="115" t="s">
        <v>376</v>
      </c>
      <c r="G11" s="97" t="s">
        <v>9</v>
      </c>
      <c r="H11" s="233">
        <v>5702</v>
      </c>
      <c r="I11" s="266" t="s">
        <v>63</v>
      </c>
      <c r="J11" s="233">
        <v>141</v>
      </c>
    </row>
    <row r="12" spans="1:10" ht="12.75">
      <c r="A12" s="189" t="s">
        <v>377</v>
      </c>
      <c r="B12" s="6">
        <v>0</v>
      </c>
      <c r="C12" s="6">
        <v>8101570</v>
      </c>
      <c r="D12" s="54" t="s">
        <v>63</v>
      </c>
      <c r="E12" s="202">
        <v>1359204</v>
      </c>
      <c r="F12" s="189" t="s">
        <v>377</v>
      </c>
      <c r="G12" s="103">
        <v>0</v>
      </c>
      <c r="H12" s="103">
        <v>8101</v>
      </c>
      <c r="I12" s="263" t="s">
        <v>63</v>
      </c>
      <c r="J12" s="103">
        <v>1358</v>
      </c>
    </row>
    <row r="13" spans="1:10" ht="16.5" customHeight="1">
      <c r="A13" s="102" t="s">
        <v>351</v>
      </c>
      <c r="B13" s="6">
        <v>0</v>
      </c>
      <c r="C13" s="6">
        <v>6719643</v>
      </c>
      <c r="D13" s="54" t="s">
        <v>63</v>
      </c>
      <c r="E13" s="202">
        <v>1062890</v>
      </c>
      <c r="F13" s="102" t="s">
        <v>351</v>
      </c>
      <c r="G13" s="103">
        <v>0</v>
      </c>
      <c r="H13" s="103">
        <v>6720</v>
      </c>
      <c r="I13" s="263" t="s">
        <v>63</v>
      </c>
      <c r="J13" s="103">
        <v>1063</v>
      </c>
    </row>
    <row r="14" spans="1:10" ht="12.75">
      <c r="A14" s="106" t="s">
        <v>232</v>
      </c>
      <c r="B14" s="8"/>
      <c r="C14" s="267">
        <v>6438213</v>
      </c>
      <c r="D14" s="54" t="s">
        <v>63</v>
      </c>
      <c r="E14" s="268">
        <v>1040328</v>
      </c>
      <c r="F14" s="106" t="s">
        <v>232</v>
      </c>
      <c r="G14" s="269">
        <v>0</v>
      </c>
      <c r="H14" s="7">
        <v>6439</v>
      </c>
      <c r="I14" s="266" t="s">
        <v>63</v>
      </c>
      <c r="J14" s="7">
        <v>1041</v>
      </c>
    </row>
    <row r="15" spans="1:10" ht="12.75">
      <c r="A15" s="165" t="s">
        <v>233</v>
      </c>
      <c r="B15" s="23"/>
      <c r="C15" s="23">
        <v>447653</v>
      </c>
      <c r="D15" s="62" t="s">
        <v>63</v>
      </c>
      <c r="E15" s="270">
        <v>79309</v>
      </c>
      <c r="F15" s="165" t="s">
        <v>233</v>
      </c>
      <c r="G15" s="233">
        <v>0</v>
      </c>
      <c r="H15" s="233">
        <v>448</v>
      </c>
      <c r="I15" s="266" t="s">
        <v>63</v>
      </c>
      <c r="J15" s="233">
        <v>80</v>
      </c>
    </row>
    <row r="16" spans="1:10" ht="22.5">
      <c r="A16" s="115" t="s">
        <v>378</v>
      </c>
      <c r="B16" s="21" t="s">
        <v>9</v>
      </c>
      <c r="C16" s="23">
        <v>137244</v>
      </c>
      <c r="D16" s="21" t="s">
        <v>9</v>
      </c>
      <c r="E16" s="270">
        <v>17442</v>
      </c>
      <c r="F16" s="115" t="s">
        <v>378</v>
      </c>
      <c r="G16" s="21" t="s">
        <v>9</v>
      </c>
      <c r="H16" s="233">
        <v>137</v>
      </c>
      <c r="I16" s="21" t="s">
        <v>9</v>
      </c>
      <c r="J16" s="233">
        <v>17</v>
      </c>
    </row>
    <row r="17" spans="1:10" ht="12.75">
      <c r="A17" s="115" t="s">
        <v>235</v>
      </c>
      <c r="B17" s="21" t="s">
        <v>9</v>
      </c>
      <c r="C17" s="23">
        <v>5852233</v>
      </c>
      <c r="D17" s="21" t="s">
        <v>9</v>
      </c>
      <c r="E17" s="271">
        <v>943577</v>
      </c>
      <c r="F17" s="115" t="s">
        <v>235</v>
      </c>
      <c r="G17" s="21" t="s">
        <v>9</v>
      </c>
      <c r="H17" s="27">
        <v>5853</v>
      </c>
      <c r="I17" s="21" t="s">
        <v>9</v>
      </c>
      <c r="J17" s="27">
        <v>944</v>
      </c>
    </row>
    <row r="18" spans="1:10" s="273" customFormat="1" ht="12.75">
      <c r="A18" s="117" t="s">
        <v>352</v>
      </c>
      <c r="B18" s="11" t="s">
        <v>9</v>
      </c>
      <c r="C18" s="25">
        <v>4637687</v>
      </c>
      <c r="D18" s="11" t="s">
        <v>9</v>
      </c>
      <c r="E18" s="270">
        <v>857636</v>
      </c>
      <c r="F18" s="117" t="s">
        <v>352</v>
      </c>
      <c r="G18" s="11" t="s">
        <v>9</v>
      </c>
      <c r="H18" s="272">
        <v>4638</v>
      </c>
      <c r="I18" s="11" t="s">
        <v>9</v>
      </c>
      <c r="J18" s="272">
        <v>858</v>
      </c>
    </row>
    <row r="19" spans="1:10" s="273" customFormat="1" ht="12.75">
      <c r="A19" s="117" t="s">
        <v>379</v>
      </c>
      <c r="B19" s="11" t="s">
        <v>9</v>
      </c>
      <c r="C19" s="25">
        <v>1214546</v>
      </c>
      <c r="D19" s="11" t="s">
        <v>9</v>
      </c>
      <c r="E19" s="270">
        <v>85941</v>
      </c>
      <c r="F19" s="117" t="s">
        <v>379</v>
      </c>
      <c r="G19" s="11" t="s">
        <v>9</v>
      </c>
      <c r="H19" s="272">
        <v>1215</v>
      </c>
      <c r="I19" s="11" t="s">
        <v>9</v>
      </c>
      <c r="J19" s="272">
        <v>86</v>
      </c>
    </row>
    <row r="20" spans="1:10" ht="12.75">
      <c r="A20" s="115" t="s">
        <v>355</v>
      </c>
      <c r="B20" s="21" t="s">
        <v>9</v>
      </c>
      <c r="C20" s="23">
        <v>1083</v>
      </c>
      <c r="D20" s="21" t="s">
        <v>9</v>
      </c>
      <c r="E20" s="270">
        <v>0</v>
      </c>
      <c r="F20" s="115" t="s">
        <v>355</v>
      </c>
      <c r="G20" s="21" t="s">
        <v>9</v>
      </c>
      <c r="H20" s="233">
        <v>1</v>
      </c>
      <c r="I20" s="21" t="s">
        <v>9</v>
      </c>
      <c r="J20" s="233">
        <v>0</v>
      </c>
    </row>
    <row r="21" spans="1:10" ht="12.75">
      <c r="A21" s="114" t="s">
        <v>241</v>
      </c>
      <c r="B21" s="21"/>
      <c r="C21" s="267">
        <v>154185</v>
      </c>
      <c r="D21" s="54" t="s">
        <v>63</v>
      </c>
      <c r="E21" s="268">
        <v>10250</v>
      </c>
      <c r="F21" s="114" t="s">
        <v>241</v>
      </c>
      <c r="G21" s="21"/>
      <c r="H21" s="7">
        <v>154</v>
      </c>
      <c r="I21" s="266" t="s">
        <v>63</v>
      </c>
      <c r="J21" s="7">
        <v>10</v>
      </c>
    </row>
    <row r="22" spans="1:10" ht="12.75">
      <c r="A22" s="115" t="s">
        <v>380</v>
      </c>
      <c r="B22" s="21" t="s">
        <v>9</v>
      </c>
      <c r="C22" s="23">
        <v>154185</v>
      </c>
      <c r="D22" s="21" t="s">
        <v>9</v>
      </c>
      <c r="E22" s="270">
        <v>10250</v>
      </c>
      <c r="F22" s="115" t="s">
        <v>380</v>
      </c>
      <c r="G22" s="21" t="s">
        <v>9</v>
      </c>
      <c r="H22" s="233">
        <v>154</v>
      </c>
      <c r="I22" s="21" t="s">
        <v>9</v>
      </c>
      <c r="J22" s="233">
        <v>10</v>
      </c>
    </row>
    <row r="23" spans="1:10" ht="12.75">
      <c r="A23" s="115" t="s">
        <v>381</v>
      </c>
      <c r="B23" s="21" t="s">
        <v>9</v>
      </c>
      <c r="C23" s="23"/>
      <c r="D23" s="21" t="s">
        <v>9</v>
      </c>
      <c r="E23" s="270">
        <v>0</v>
      </c>
      <c r="F23" s="115" t="s">
        <v>381</v>
      </c>
      <c r="G23" s="21" t="s">
        <v>9</v>
      </c>
      <c r="H23" s="233">
        <v>0</v>
      </c>
      <c r="I23" s="21" t="s">
        <v>9</v>
      </c>
      <c r="J23" s="233">
        <v>0</v>
      </c>
    </row>
    <row r="24" spans="1:10" ht="17.25" customHeight="1">
      <c r="A24" s="240" t="s">
        <v>245</v>
      </c>
      <c r="B24" s="23"/>
      <c r="C24" s="267">
        <v>127245</v>
      </c>
      <c r="D24" s="54" t="s">
        <v>63</v>
      </c>
      <c r="E24" s="268">
        <v>12312</v>
      </c>
      <c r="F24" s="240" t="s">
        <v>245</v>
      </c>
      <c r="G24" s="21"/>
      <c r="H24" s="7">
        <v>127</v>
      </c>
      <c r="I24" s="266" t="s">
        <v>63</v>
      </c>
      <c r="J24" s="7">
        <v>12</v>
      </c>
    </row>
    <row r="25" spans="1:10" ht="15.75" customHeight="1">
      <c r="A25" s="165" t="s">
        <v>246</v>
      </c>
      <c r="B25" s="21" t="s">
        <v>9</v>
      </c>
      <c r="C25" s="23">
        <v>28084</v>
      </c>
      <c r="D25" s="21" t="s">
        <v>9</v>
      </c>
      <c r="E25" s="270">
        <v>2458</v>
      </c>
      <c r="F25" s="165" t="s">
        <v>246</v>
      </c>
      <c r="G25" s="21" t="s">
        <v>9</v>
      </c>
      <c r="H25" s="233">
        <v>28</v>
      </c>
      <c r="I25" s="21" t="s">
        <v>9</v>
      </c>
      <c r="J25" s="233">
        <v>2</v>
      </c>
    </row>
    <row r="26" spans="1:10" ht="15.75" customHeight="1">
      <c r="A26" s="165" t="s">
        <v>247</v>
      </c>
      <c r="B26" s="21" t="s">
        <v>9</v>
      </c>
      <c r="C26" s="23">
        <v>11967</v>
      </c>
      <c r="D26" s="21" t="s">
        <v>9</v>
      </c>
      <c r="E26" s="270">
        <v>0</v>
      </c>
      <c r="F26" s="165" t="s">
        <v>247</v>
      </c>
      <c r="G26" s="21" t="s">
        <v>9</v>
      </c>
      <c r="H26" s="233">
        <v>12</v>
      </c>
      <c r="I26" s="21" t="s">
        <v>9</v>
      </c>
      <c r="J26" s="233">
        <v>0</v>
      </c>
    </row>
    <row r="27" spans="1:10" ht="16.5" customHeight="1">
      <c r="A27" s="115" t="s">
        <v>248</v>
      </c>
      <c r="B27" s="21" t="s">
        <v>9</v>
      </c>
      <c r="C27" s="23"/>
      <c r="D27" s="21" t="s">
        <v>9</v>
      </c>
      <c r="E27" s="270">
        <v>0</v>
      </c>
      <c r="F27" s="115" t="s">
        <v>248</v>
      </c>
      <c r="G27" s="21" t="s">
        <v>9</v>
      </c>
      <c r="H27" s="233">
        <v>0</v>
      </c>
      <c r="I27" s="21" t="s">
        <v>9</v>
      </c>
      <c r="J27" s="233">
        <v>0</v>
      </c>
    </row>
    <row r="28" spans="1:10" ht="12.75">
      <c r="A28" s="115" t="s">
        <v>382</v>
      </c>
      <c r="B28" s="21" t="s">
        <v>9</v>
      </c>
      <c r="C28" s="23">
        <v>32318</v>
      </c>
      <c r="D28" s="21" t="s">
        <v>9</v>
      </c>
      <c r="E28" s="270">
        <v>2843</v>
      </c>
      <c r="F28" s="115" t="s">
        <v>382</v>
      </c>
      <c r="G28" s="21" t="s">
        <v>9</v>
      </c>
      <c r="H28" s="233">
        <v>32</v>
      </c>
      <c r="I28" s="21" t="s">
        <v>9</v>
      </c>
      <c r="J28" s="233">
        <v>3</v>
      </c>
    </row>
    <row r="29" spans="1:10" ht="15" customHeight="1">
      <c r="A29" s="115" t="s">
        <v>254</v>
      </c>
      <c r="B29" s="21" t="s">
        <v>9</v>
      </c>
      <c r="C29" s="23">
        <v>54876</v>
      </c>
      <c r="D29" s="21" t="s">
        <v>9</v>
      </c>
      <c r="E29" s="270">
        <v>7011</v>
      </c>
      <c r="F29" s="115" t="s">
        <v>254</v>
      </c>
      <c r="G29" s="21" t="s">
        <v>9</v>
      </c>
      <c r="H29" s="233">
        <v>55</v>
      </c>
      <c r="I29" s="21" t="s">
        <v>9</v>
      </c>
      <c r="J29" s="233">
        <v>7</v>
      </c>
    </row>
    <row r="30" spans="1:10" ht="19.5" customHeight="1">
      <c r="A30" s="121" t="s">
        <v>383</v>
      </c>
      <c r="B30" s="135">
        <v>0</v>
      </c>
      <c r="C30" s="135">
        <v>1381927</v>
      </c>
      <c r="D30" s="54" t="s">
        <v>63</v>
      </c>
      <c r="E30" s="242">
        <v>296314</v>
      </c>
      <c r="F30" s="121" t="s">
        <v>383</v>
      </c>
      <c r="G30" s="267">
        <v>0</v>
      </c>
      <c r="H30" s="267">
        <v>1381</v>
      </c>
      <c r="I30" s="263" t="s">
        <v>63</v>
      </c>
      <c r="J30" s="267">
        <v>295</v>
      </c>
    </row>
    <row r="31" spans="1:10" ht="18.75" customHeight="1">
      <c r="A31" s="115" t="s">
        <v>265</v>
      </c>
      <c r="B31" s="23"/>
      <c r="C31" s="23">
        <v>1277493</v>
      </c>
      <c r="D31" s="62" t="s">
        <v>63</v>
      </c>
      <c r="E31" s="270">
        <v>294910</v>
      </c>
      <c r="F31" s="115" t="s">
        <v>265</v>
      </c>
      <c r="G31" s="233">
        <v>0</v>
      </c>
      <c r="H31" s="233">
        <v>1277</v>
      </c>
      <c r="I31" s="266" t="s">
        <v>63</v>
      </c>
      <c r="J31" s="233">
        <v>294</v>
      </c>
    </row>
    <row r="32" spans="1:10" ht="18" customHeight="1">
      <c r="A32" s="115" t="s">
        <v>266</v>
      </c>
      <c r="B32" s="23"/>
      <c r="C32" s="25">
        <v>104434</v>
      </c>
      <c r="D32" s="62" t="s">
        <v>63</v>
      </c>
      <c r="E32" s="270">
        <v>1404</v>
      </c>
      <c r="F32" s="115" t="s">
        <v>266</v>
      </c>
      <c r="G32" s="233">
        <v>0</v>
      </c>
      <c r="H32" s="233">
        <v>104</v>
      </c>
      <c r="I32" s="266" t="s">
        <v>63</v>
      </c>
      <c r="J32" s="233">
        <v>1</v>
      </c>
    </row>
    <row r="33" spans="1:11" s="209" customFormat="1" ht="15.75" customHeight="1">
      <c r="A33" s="121" t="s">
        <v>384</v>
      </c>
      <c r="B33" s="23"/>
      <c r="C33" s="6">
        <v>1452475</v>
      </c>
      <c r="D33" s="21" t="s">
        <v>9</v>
      </c>
      <c r="E33" s="215" t="s">
        <v>9</v>
      </c>
      <c r="F33" s="121" t="s">
        <v>384</v>
      </c>
      <c r="G33" s="245"/>
      <c r="H33" s="267">
        <v>1453</v>
      </c>
      <c r="I33" s="21" t="s">
        <v>9</v>
      </c>
      <c r="J33" s="21" t="s">
        <v>9</v>
      </c>
      <c r="K33" s="274"/>
    </row>
    <row r="34" spans="1:11" s="209" customFormat="1" ht="16.5" customHeight="1">
      <c r="A34" s="121" t="s">
        <v>367</v>
      </c>
      <c r="B34" s="23"/>
      <c r="C34" s="23">
        <v>-1452475</v>
      </c>
      <c r="D34" s="21" t="s">
        <v>9</v>
      </c>
      <c r="E34" s="215" t="s">
        <v>9</v>
      </c>
      <c r="F34" s="121" t="s">
        <v>367</v>
      </c>
      <c r="G34" s="19"/>
      <c r="H34" s="267">
        <v>-1451</v>
      </c>
      <c r="I34" s="21" t="s">
        <v>9</v>
      </c>
      <c r="J34" s="21" t="s">
        <v>9</v>
      </c>
      <c r="K34" s="274"/>
    </row>
    <row r="35" spans="1:11" s="209" customFormat="1" ht="26.25" customHeight="1">
      <c r="A35" s="145" t="s">
        <v>385</v>
      </c>
      <c r="B35" s="23"/>
      <c r="C35" s="23">
        <v>-1452475</v>
      </c>
      <c r="D35" s="21" t="s">
        <v>9</v>
      </c>
      <c r="E35" s="215" t="s">
        <v>9</v>
      </c>
      <c r="F35" s="145" t="s">
        <v>385</v>
      </c>
      <c r="G35" s="23"/>
      <c r="H35" s="233">
        <v>-1451</v>
      </c>
      <c r="I35" s="21" t="s">
        <v>9</v>
      </c>
      <c r="J35" s="21" t="s">
        <v>9</v>
      </c>
      <c r="K35" s="274"/>
    </row>
    <row r="36" spans="1:10" s="79" customFormat="1" ht="16.5" customHeight="1">
      <c r="A36" s="122"/>
      <c r="B36" s="123"/>
      <c r="C36" s="275"/>
      <c r="D36" s="275"/>
      <c r="E36" s="275"/>
      <c r="F36" s="122"/>
      <c r="G36" s="123"/>
      <c r="H36" s="275"/>
      <c r="I36" s="275"/>
      <c r="J36" s="275"/>
    </row>
    <row r="37" spans="1:10" s="79" customFormat="1" ht="16.5" customHeight="1">
      <c r="A37" s="122"/>
      <c r="B37" s="123"/>
      <c r="C37" s="275"/>
      <c r="D37" s="275"/>
      <c r="E37" s="275"/>
      <c r="F37" s="122" t="s">
        <v>386</v>
      </c>
      <c r="G37" s="123"/>
      <c r="H37" s="275"/>
      <c r="I37" s="275"/>
      <c r="J37" s="275"/>
    </row>
    <row r="38" spans="1:10" s="79" customFormat="1" ht="16.5" customHeight="1">
      <c r="A38" s="122"/>
      <c r="B38" s="123"/>
      <c r="C38" s="275"/>
      <c r="D38" s="275"/>
      <c r="E38" s="275"/>
      <c r="F38" s="122"/>
      <c r="G38" s="123"/>
      <c r="H38" s="275"/>
      <c r="I38" s="275"/>
      <c r="J38" s="275"/>
    </row>
    <row r="39" spans="1:10" s="79" customFormat="1" ht="16.5" customHeight="1">
      <c r="A39" s="122"/>
      <c r="B39" s="123"/>
      <c r="C39" s="275"/>
      <c r="D39" s="275"/>
      <c r="E39" s="275"/>
      <c r="F39" s="81" t="s">
        <v>272</v>
      </c>
      <c r="G39" s="123"/>
      <c r="H39" s="275"/>
      <c r="I39" s="275"/>
      <c r="J39" s="275"/>
    </row>
    <row r="40" spans="1:10" s="79" customFormat="1" ht="16.5" customHeight="1">
      <c r="A40" s="122"/>
      <c r="B40" s="123"/>
      <c r="C40" s="275"/>
      <c r="D40" s="275"/>
      <c r="E40" s="275"/>
      <c r="F40" s="81"/>
      <c r="G40" s="123"/>
      <c r="H40" s="275"/>
      <c r="I40" s="275"/>
      <c r="J40" s="275"/>
    </row>
    <row r="41" spans="1:10" s="79" customFormat="1" ht="16.5" customHeight="1">
      <c r="A41" s="122"/>
      <c r="B41" s="123"/>
      <c r="C41" s="275"/>
      <c r="D41" s="275"/>
      <c r="E41" s="275"/>
      <c r="F41" s="225"/>
      <c r="G41" s="123"/>
      <c r="H41" s="275"/>
      <c r="I41" s="275"/>
      <c r="J41" s="275"/>
    </row>
    <row r="42" spans="1:10" ht="16.5" customHeight="1">
      <c r="A42" s="276"/>
      <c r="B42" s="123"/>
      <c r="C42" s="123"/>
      <c r="D42" s="277"/>
      <c r="E42" s="224"/>
      <c r="F42" s="81"/>
      <c r="G42" s="123"/>
      <c r="H42" s="275"/>
      <c r="I42" s="277"/>
      <c r="J42" s="224"/>
    </row>
    <row r="43" spans="1:10" ht="14.25">
      <c r="A43" s="278"/>
      <c r="B43" s="33"/>
      <c r="C43" s="33"/>
      <c r="D43" s="279"/>
      <c r="E43" s="225"/>
      <c r="F43" s="225" t="s">
        <v>134</v>
      </c>
      <c r="G43" s="33"/>
      <c r="H43" s="33"/>
      <c r="I43" s="279"/>
      <c r="J43" s="225"/>
    </row>
    <row r="44" spans="1:10" ht="12.75">
      <c r="A44" s="81" t="s">
        <v>272</v>
      </c>
      <c r="B44" s="129"/>
      <c r="C44" s="129"/>
      <c r="D44" s="197"/>
      <c r="E44" s="82"/>
      <c r="F44" s="225" t="s">
        <v>136</v>
      </c>
      <c r="G44" s="129"/>
      <c r="H44" s="129"/>
      <c r="I44" s="197"/>
      <c r="J44" s="82"/>
    </row>
    <row r="45" spans="1:10" ht="12.75">
      <c r="A45" s="225"/>
      <c r="B45" s="280"/>
      <c r="C45" s="132"/>
      <c r="D45" s="281"/>
      <c r="E45" s="31"/>
      <c r="G45" s="280"/>
      <c r="H45" s="132"/>
      <c r="I45" s="281"/>
      <c r="J45" s="31"/>
    </row>
    <row r="46" spans="1:10" ht="12.75">
      <c r="A46" s="225"/>
      <c r="B46" s="280"/>
      <c r="C46" s="132"/>
      <c r="D46" s="281"/>
      <c r="E46" s="31"/>
      <c r="G46" s="280"/>
      <c r="H46" s="132"/>
      <c r="I46" s="281"/>
      <c r="J46" s="31"/>
    </row>
    <row r="47" spans="1:10" ht="12.75">
      <c r="A47" s="225" t="s">
        <v>134</v>
      </c>
      <c r="B47" s="280"/>
      <c r="C47" s="132"/>
      <c r="D47" s="281"/>
      <c r="E47" s="31"/>
      <c r="F47" s="225"/>
      <c r="G47" s="280"/>
      <c r="H47" s="132"/>
      <c r="I47" s="281"/>
      <c r="J47" s="31"/>
    </row>
    <row r="48" spans="1:10" ht="12.75">
      <c r="A48" s="225" t="s">
        <v>136</v>
      </c>
      <c r="B48" s="280"/>
      <c r="C48" s="132"/>
      <c r="D48" s="281"/>
      <c r="E48" s="31"/>
      <c r="F48" s="225"/>
      <c r="G48" s="280"/>
      <c r="H48" s="132"/>
      <c r="I48" s="281"/>
      <c r="J48" s="31"/>
    </row>
    <row r="49" spans="1:10" ht="12.75">
      <c r="A49" s="225"/>
      <c r="B49" s="280"/>
      <c r="C49" s="132"/>
      <c r="D49" s="281"/>
      <c r="E49" s="31"/>
      <c r="F49" s="225"/>
      <c r="G49" s="280"/>
      <c r="H49" s="132"/>
      <c r="I49" s="281"/>
      <c r="J49" s="31"/>
    </row>
    <row r="50" spans="2:5" ht="12" customHeight="1">
      <c r="B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F1">
      <selection activeCell="H7" sqref="H7"/>
    </sheetView>
  </sheetViews>
  <sheetFormatPr defaultColWidth="9.140625" defaultRowHeight="12.75"/>
  <cols>
    <col min="1" max="1" width="38.8515625" style="2" hidden="1" customWidth="1"/>
    <col min="2" max="2" width="8.28125" style="2" hidden="1" customWidth="1"/>
    <col min="3" max="3" width="11.8515625" style="2" hidden="1" customWidth="1"/>
    <col min="4" max="4" width="10.00390625" style="2" hidden="1" customWidth="1"/>
    <col min="5" max="5" width="11.28125" style="2" hidden="1" customWidth="1"/>
    <col min="6" max="6" width="28.7109375" style="2" customWidth="1"/>
    <col min="7" max="7" width="6.8515625" style="2" customWidth="1"/>
    <col min="8" max="8" width="8.421875" style="2" customWidth="1"/>
    <col min="9" max="9" width="10.8515625" style="2" customWidth="1"/>
    <col min="10" max="10" width="11.7109375" style="2" customWidth="1"/>
    <col min="11" max="16384" width="7.8515625" style="2" customWidth="1"/>
  </cols>
  <sheetData>
    <row r="1" spans="3:9" ht="12.75">
      <c r="C1" s="48"/>
      <c r="D1" s="48"/>
      <c r="H1" s="48"/>
      <c r="I1" s="48"/>
    </row>
    <row r="2" spans="1:10" ht="12.75">
      <c r="A2" s="48" t="s">
        <v>387</v>
      </c>
      <c r="C2" s="48"/>
      <c r="D2" s="48"/>
      <c r="E2" s="41" t="s">
        <v>388</v>
      </c>
      <c r="F2" s="48" t="s">
        <v>389</v>
      </c>
      <c r="H2" s="48"/>
      <c r="I2" s="48"/>
      <c r="J2" s="227" t="s">
        <v>388</v>
      </c>
    </row>
    <row r="3" ht="15.75">
      <c r="A3" s="87" t="s">
        <v>390</v>
      </c>
    </row>
    <row r="4" spans="1:10" ht="15.75">
      <c r="A4" s="87" t="s">
        <v>391</v>
      </c>
      <c r="F4" s="302" t="s">
        <v>392</v>
      </c>
      <c r="G4" s="302"/>
      <c r="H4" s="302"/>
      <c r="I4" s="302"/>
      <c r="J4" s="302"/>
    </row>
    <row r="5" spans="6:10" ht="15.75">
      <c r="F5" s="302" t="s">
        <v>393</v>
      </c>
      <c r="G5" s="302"/>
      <c r="H5" s="302"/>
      <c r="I5" s="302"/>
      <c r="J5" s="302"/>
    </row>
    <row r="8" spans="4:10" ht="12.75">
      <c r="D8" s="48"/>
      <c r="E8" s="81" t="s">
        <v>140</v>
      </c>
      <c r="I8" s="48"/>
      <c r="J8" s="282" t="s">
        <v>140</v>
      </c>
    </row>
    <row r="9" spans="1:10" ht="60">
      <c r="A9" s="283" t="s">
        <v>2</v>
      </c>
      <c r="B9" s="284" t="s">
        <v>394</v>
      </c>
      <c r="C9" s="284" t="s">
        <v>49</v>
      </c>
      <c r="D9" s="284" t="s">
        <v>50</v>
      </c>
      <c r="E9" s="284" t="s">
        <v>395</v>
      </c>
      <c r="F9" s="283" t="s">
        <v>2</v>
      </c>
      <c r="G9" s="284" t="s">
        <v>394</v>
      </c>
      <c r="H9" s="284" t="s">
        <v>49</v>
      </c>
      <c r="I9" s="284" t="s">
        <v>50</v>
      </c>
      <c r="J9" s="284" t="s">
        <v>395</v>
      </c>
    </row>
    <row r="10" spans="1:10" ht="12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3">
        <v>1</v>
      </c>
      <c r="G10" s="3">
        <v>2</v>
      </c>
      <c r="H10" s="4">
        <v>3</v>
      </c>
      <c r="I10" s="4">
        <v>4</v>
      </c>
      <c r="J10" s="4">
        <v>5</v>
      </c>
    </row>
    <row r="11" spans="1:10" ht="17.25" customHeight="1">
      <c r="A11" s="285" t="s">
        <v>280</v>
      </c>
      <c r="B11" s="167"/>
      <c r="C11" s="140">
        <v>787338177</v>
      </c>
      <c r="D11" s="140">
        <v>619088298</v>
      </c>
      <c r="E11" s="286">
        <v>0.7863</v>
      </c>
      <c r="F11" s="285" t="s">
        <v>280</v>
      </c>
      <c r="G11" s="167"/>
      <c r="H11" s="103">
        <v>787338</v>
      </c>
      <c r="I11" s="103">
        <v>619090</v>
      </c>
      <c r="J11" s="287">
        <v>0.7863</v>
      </c>
    </row>
    <row r="12" spans="1:10" ht="16.5" customHeight="1">
      <c r="A12" s="205" t="s">
        <v>396</v>
      </c>
      <c r="B12" s="288">
        <v>1</v>
      </c>
      <c r="C12" s="289">
        <v>79465272</v>
      </c>
      <c r="D12" s="289">
        <v>60155775</v>
      </c>
      <c r="E12" s="290">
        <v>0.757</v>
      </c>
      <c r="F12" s="165" t="s">
        <v>396</v>
      </c>
      <c r="G12" s="291">
        <v>1</v>
      </c>
      <c r="H12" s="23">
        <v>79465</v>
      </c>
      <c r="I12" s="23">
        <v>60156</v>
      </c>
      <c r="J12" s="290">
        <v>0.757</v>
      </c>
    </row>
    <row r="13" spans="1:10" ht="18.75" customHeight="1">
      <c r="A13" s="65" t="s">
        <v>397</v>
      </c>
      <c r="B13" s="288">
        <v>2</v>
      </c>
      <c r="C13" s="289">
        <v>32777333</v>
      </c>
      <c r="D13" s="289">
        <v>23315459</v>
      </c>
      <c r="E13" s="290">
        <v>0.7113</v>
      </c>
      <c r="F13" s="64" t="s">
        <v>397</v>
      </c>
      <c r="G13" s="291">
        <v>2</v>
      </c>
      <c r="H13" s="23">
        <v>32777</v>
      </c>
      <c r="I13" s="23">
        <v>23315</v>
      </c>
      <c r="J13" s="290">
        <v>0.7113</v>
      </c>
    </row>
    <row r="14" spans="1:10" ht="17.25" customHeight="1">
      <c r="A14" s="65" t="s">
        <v>398</v>
      </c>
      <c r="B14" s="288">
        <v>3</v>
      </c>
      <c r="C14" s="289">
        <v>110969904</v>
      </c>
      <c r="D14" s="289">
        <v>87767000</v>
      </c>
      <c r="E14" s="290">
        <v>0.7909</v>
      </c>
      <c r="F14" s="64" t="s">
        <v>398</v>
      </c>
      <c r="G14" s="291">
        <v>3</v>
      </c>
      <c r="H14" s="23">
        <v>110970</v>
      </c>
      <c r="I14" s="23">
        <v>87767</v>
      </c>
      <c r="J14" s="290">
        <v>0.7909</v>
      </c>
    </row>
    <row r="15" spans="1:10" ht="18" customHeight="1">
      <c r="A15" s="65" t="s">
        <v>399</v>
      </c>
      <c r="B15" s="288">
        <v>4</v>
      </c>
      <c r="C15" s="289">
        <v>79981029</v>
      </c>
      <c r="D15" s="289">
        <v>63055184</v>
      </c>
      <c r="E15" s="290">
        <v>0.7884</v>
      </c>
      <c r="F15" s="64" t="s">
        <v>399</v>
      </c>
      <c r="G15" s="291">
        <v>4</v>
      </c>
      <c r="H15" s="23">
        <v>79981</v>
      </c>
      <c r="I15" s="23">
        <v>63055</v>
      </c>
      <c r="J15" s="290">
        <v>0.7884</v>
      </c>
    </row>
    <row r="16" spans="1:10" ht="18" customHeight="1">
      <c r="A16" s="65" t="s">
        <v>400</v>
      </c>
      <c r="B16" s="288">
        <v>5</v>
      </c>
      <c r="C16" s="289">
        <v>69894305</v>
      </c>
      <c r="D16" s="289">
        <v>59333650</v>
      </c>
      <c r="E16" s="290">
        <v>0.8489</v>
      </c>
      <c r="F16" s="64" t="s">
        <v>400</v>
      </c>
      <c r="G16" s="291">
        <v>5</v>
      </c>
      <c r="H16" s="23">
        <v>69894</v>
      </c>
      <c r="I16" s="23">
        <v>59334</v>
      </c>
      <c r="J16" s="290">
        <v>0.8489</v>
      </c>
    </row>
    <row r="17" spans="1:10" ht="20.25" customHeight="1">
      <c r="A17" s="65" t="s">
        <v>401</v>
      </c>
      <c r="B17" s="288">
        <v>6</v>
      </c>
      <c r="C17" s="289">
        <v>82905191</v>
      </c>
      <c r="D17" s="289">
        <v>68416107</v>
      </c>
      <c r="E17" s="290">
        <v>0.8252</v>
      </c>
      <c r="F17" s="64" t="s">
        <v>401</v>
      </c>
      <c r="G17" s="291">
        <v>6</v>
      </c>
      <c r="H17" s="23">
        <v>82905</v>
      </c>
      <c r="I17" s="23">
        <v>68416</v>
      </c>
      <c r="J17" s="290">
        <v>0.8252</v>
      </c>
    </row>
    <row r="18" spans="1:10" ht="19.5" customHeight="1">
      <c r="A18" s="66" t="s">
        <v>402</v>
      </c>
      <c r="B18" s="288">
        <v>7</v>
      </c>
      <c r="C18" s="289">
        <v>4290215</v>
      </c>
      <c r="D18" s="289">
        <v>3286481</v>
      </c>
      <c r="E18" s="290">
        <v>0.766</v>
      </c>
      <c r="F18" s="115" t="s">
        <v>402</v>
      </c>
      <c r="G18" s="291">
        <v>7</v>
      </c>
      <c r="H18" s="23">
        <v>4290</v>
      </c>
      <c r="I18" s="23">
        <v>3286</v>
      </c>
      <c r="J18" s="290">
        <v>0.766</v>
      </c>
    </row>
    <row r="19" spans="1:10" ht="18.75" customHeight="1">
      <c r="A19" s="65" t="s">
        <v>403</v>
      </c>
      <c r="B19" s="288">
        <v>8</v>
      </c>
      <c r="C19" s="289">
        <v>20899717</v>
      </c>
      <c r="D19" s="289">
        <v>16956046</v>
      </c>
      <c r="E19" s="290">
        <v>0.8113</v>
      </c>
      <c r="F19" s="64" t="s">
        <v>403</v>
      </c>
      <c r="G19" s="291">
        <v>8</v>
      </c>
      <c r="H19" s="23">
        <v>20900</v>
      </c>
      <c r="I19" s="23">
        <v>16956</v>
      </c>
      <c r="J19" s="290">
        <v>0.8113</v>
      </c>
    </row>
    <row r="20" spans="1:10" ht="19.5" customHeight="1">
      <c r="A20" s="65" t="s">
        <v>404</v>
      </c>
      <c r="B20" s="288">
        <v>9</v>
      </c>
      <c r="C20" s="289">
        <v>169047</v>
      </c>
      <c r="D20" s="289">
        <v>128818</v>
      </c>
      <c r="E20" s="290">
        <v>0.762</v>
      </c>
      <c r="F20" s="64" t="s">
        <v>404</v>
      </c>
      <c r="G20" s="291">
        <v>9</v>
      </c>
      <c r="H20" s="23">
        <v>169</v>
      </c>
      <c r="I20" s="23">
        <v>129</v>
      </c>
      <c r="J20" s="290">
        <v>0.7633</v>
      </c>
    </row>
    <row r="21" spans="1:10" ht="19.5" customHeight="1">
      <c r="A21" s="66" t="s">
        <v>405</v>
      </c>
      <c r="B21" s="288">
        <v>10</v>
      </c>
      <c r="C21" s="289">
        <v>56178566</v>
      </c>
      <c r="D21" s="289">
        <v>44971120</v>
      </c>
      <c r="E21" s="290">
        <v>0.8005</v>
      </c>
      <c r="F21" s="115" t="s">
        <v>405</v>
      </c>
      <c r="G21" s="291">
        <v>10</v>
      </c>
      <c r="H21" s="23">
        <v>56179</v>
      </c>
      <c r="I21" s="23">
        <v>44971</v>
      </c>
      <c r="J21" s="290">
        <v>0.8005</v>
      </c>
    </row>
    <row r="22" spans="1:10" ht="20.25" customHeight="1">
      <c r="A22" s="66" t="s">
        <v>406</v>
      </c>
      <c r="B22" s="288">
        <v>11</v>
      </c>
      <c r="C22" s="289">
        <v>833073</v>
      </c>
      <c r="D22" s="289">
        <v>549968</v>
      </c>
      <c r="E22" s="290">
        <v>0.6602</v>
      </c>
      <c r="F22" s="115" t="s">
        <v>406</v>
      </c>
      <c r="G22" s="291">
        <v>11</v>
      </c>
      <c r="H22" s="23">
        <v>833</v>
      </c>
      <c r="I22" s="23">
        <v>550</v>
      </c>
      <c r="J22" s="290">
        <v>0.6603</v>
      </c>
    </row>
    <row r="23" spans="1:10" ht="19.5" customHeight="1">
      <c r="A23" s="65" t="s">
        <v>407</v>
      </c>
      <c r="B23" s="288">
        <v>12</v>
      </c>
      <c r="C23" s="289">
        <v>8074296</v>
      </c>
      <c r="D23" s="289">
        <v>6533884</v>
      </c>
      <c r="E23" s="290">
        <v>0.8092</v>
      </c>
      <c r="F23" s="64" t="s">
        <v>407</v>
      </c>
      <c r="G23" s="291">
        <v>12</v>
      </c>
      <c r="H23" s="23">
        <v>8074</v>
      </c>
      <c r="I23" s="23">
        <v>6534</v>
      </c>
      <c r="J23" s="290">
        <v>0.8093</v>
      </c>
    </row>
    <row r="24" spans="1:10" ht="19.5" customHeight="1">
      <c r="A24" s="65" t="s">
        <v>408</v>
      </c>
      <c r="B24" s="288">
        <v>13</v>
      </c>
      <c r="C24" s="289">
        <v>20209404</v>
      </c>
      <c r="D24" s="289">
        <v>16364000</v>
      </c>
      <c r="E24" s="290">
        <v>0.8097</v>
      </c>
      <c r="F24" s="64" t="s">
        <v>408</v>
      </c>
      <c r="G24" s="291">
        <v>13</v>
      </c>
      <c r="H24" s="23">
        <v>20210</v>
      </c>
      <c r="I24" s="23">
        <v>16365</v>
      </c>
      <c r="J24" s="290">
        <v>0.8097</v>
      </c>
    </row>
    <row r="25" spans="1:10" ht="19.5" customHeight="1">
      <c r="A25" s="66" t="s">
        <v>409</v>
      </c>
      <c r="B25" s="288">
        <v>14</v>
      </c>
      <c r="C25" s="289">
        <v>220690825</v>
      </c>
      <c r="D25" s="289">
        <v>168254806</v>
      </c>
      <c r="E25" s="290">
        <v>0.7624</v>
      </c>
      <c r="F25" s="115" t="s">
        <v>410</v>
      </c>
      <c r="G25" s="291">
        <v>14</v>
      </c>
      <c r="H25" s="23">
        <v>220691</v>
      </c>
      <c r="I25" s="23">
        <v>168256</v>
      </c>
      <c r="J25" s="290">
        <v>0.7624</v>
      </c>
    </row>
    <row r="26" spans="2:10" ht="12.75">
      <c r="B26" s="254"/>
      <c r="C26" s="34"/>
      <c r="D26" s="34"/>
      <c r="E26" s="131"/>
      <c r="G26" s="254"/>
      <c r="H26" s="34"/>
      <c r="I26" s="34"/>
      <c r="J26" s="131"/>
    </row>
    <row r="27" spans="2:10" ht="12.75">
      <c r="B27" s="254"/>
      <c r="C27" s="34"/>
      <c r="D27" s="34"/>
      <c r="E27" s="131"/>
      <c r="G27" s="254"/>
      <c r="H27" s="34"/>
      <c r="I27" s="34"/>
      <c r="J27" s="131"/>
    </row>
    <row r="28" spans="1:10" ht="14.25">
      <c r="A28" s="91"/>
      <c r="B28" s="292"/>
      <c r="C28" s="34"/>
      <c r="D28" s="34"/>
      <c r="E28" s="131"/>
      <c r="F28" s="91"/>
      <c r="G28" s="292"/>
      <c r="H28" s="34"/>
      <c r="I28" s="34"/>
      <c r="J28" s="131"/>
    </row>
    <row r="29" spans="1:10" ht="14.25">
      <c r="A29" s="91"/>
      <c r="B29" s="292"/>
      <c r="C29" s="34"/>
      <c r="D29" s="34"/>
      <c r="E29" s="131"/>
      <c r="F29" s="2" t="s">
        <v>411</v>
      </c>
      <c r="G29" s="292"/>
      <c r="H29" s="34"/>
      <c r="I29" s="34"/>
      <c r="J29" s="131"/>
    </row>
    <row r="30" spans="1:10" ht="14.25">
      <c r="A30" s="91"/>
      <c r="B30" s="292"/>
      <c r="C30" s="34"/>
      <c r="D30" s="34"/>
      <c r="E30" s="131"/>
      <c r="F30" s="91"/>
      <c r="G30" s="292"/>
      <c r="H30" s="34"/>
      <c r="I30" s="34"/>
      <c r="J30" s="131"/>
    </row>
    <row r="31" spans="1:10" ht="14.25">
      <c r="A31" s="91"/>
      <c r="B31" s="292"/>
      <c r="C31" s="34"/>
      <c r="D31" s="34"/>
      <c r="E31" s="131"/>
      <c r="F31" s="91"/>
      <c r="G31" s="292"/>
      <c r="H31" s="34"/>
      <c r="I31" s="34"/>
      <c r="J31" s="131"/>
    </row>
    <row r="32" spans="1:10" ht="14.25">
      <c r="A32" s="91"/>
      <c r="B32" s="292"/>
      <c r="C32" s="34"/>
      <c r="D32" s="34"/>
      <c r="E32" s="131"/>
      <c r="F32" s="91"/>
      <c r="G32" s="292"/>
      <c r="H32" s="34"/>
      <c r="I32" s="34"/>
      <c r="J32" s="131"/>
    </row>
    <row r="33" spans="1:10" ht="14.25">
      <c r="A33" s="91"/>
      <c r="B33" s="292"/>
      <c r="C33" s="34"/>
      <c r="D33" s="34"/>
      <c r="E33" s="131"/>
      <c r="F33" s="91"/>
      <c r="G33" s="292"/>
      <c r="H33" s="34"/>
      <c r="I33" s="34"/>
      <c r="J33" s="131"/>
    </row>
    <row r="34" spans="1:10" ht="14.25">
      <c r="A34" s="91"/>
      <c r="B34" s="292"/>
      <c r="C34" s="34"/>
      <c r="D34" s="34"/>
      <c r="E34" s="131"/>
      <c r="F34" s="91"/>
      <c r="G34" s="292"/>
      <c r="H34" s="34"/>
      <c r="I34" s="34"/>
      <c r="J34" s="131"/>
    </row>
    <row r="35" spans="1:10" ht="14.25">
      <c r="A35" s="91"/>
      <c r="B35" s="292"/>
      <c r="C35" s="34"/>
      <c r="D35" s="34"/>
      <c r="E35" s="131"/>
      <c r="F35" s="91"/>
      <c r="G35" s="292"/>
      <c r="H35" s="34"/>
      <c r="I35" s="34"/>
      <c r="J35" s="131"/>
    </row>
    <row r="36" spans="1:10" ht="12">
      <c r="A36" s="2" t="s">
        <v>412</v>
      </c>
      <c r="B36" s="254"/>
      <c r="C36" s="133" t="s">
        <v>413</v>
      </c>
      <c r="D36" s="133"/>
      <c r="E36" s="131"/>
      <c r="F36" s="2" t="s">
        <v>414</v>
      </c>
      <c r="G36" s="254"/>
      <c r="H36" s="133" t="s">
        <v>415</v>
      </c>
      <c r="I36" s="133"/>
      <c r="J36" s="131"/>
    </row>
    <row r="37" spans="2:10" ht="12">
      <c r="B37" s="254"/>
      <c r="C37" s="133"/>
      <c r="D37" s="133"/>
      <c r="E37" s="131"/>
      <c r="G37" s="254"/>
      <c r="H37" s="133"/>
      <c r="I37" s="133"/>
      <c r="J37" s="131"/>
    </row>
    <row r="38" spans="3:10" ht="12">
      <c r="C38" s="133"/>
      <c r="D38" s="133"/>
      <c r="E38" s="293"/>
      <c r="H38" s="133"/>
      <c r="I38" s="133"/>
      <c r="J38" s="293"/>
    </row>
    <row r="39" spans="3:10" ht="12">
      <c r="C39" s="133"/>
      <c r="D39" s="133"/>
      <c r="E39" s="293"/>
      <c r="H39" s="133"/>
      <c r="I39" s="133"/>
      <c r="J39" s="293"/>
    </row>
    <row r="40" spans="1:10" ht="12.75">
      <c r="A40" s="2" t="s">
        <v>416</v>
      </c>
      <c r="C40" s="34"/>
      <c r="D40" s="34"/>
      <c r="E40" s="131"/>
      <c r="H40" s="34"/>
      <c r="I40" s="34"/>
      <c r="J40" s="131"/>
    </row>
    <row r="41" spans="1:10" ht="14.25">
      <c r="A41" s="2" t="s">
        <v>136</v>
      </c>
      <c r="B41" s="91"/>
      <c r="C41" s="34"/>
      <c r="D41" s="34"/>
      <c r="E41" s="131"/>
      <c r="G41" s="91"/>
      <c r="H41" s="34"/>
      <c r="I41" s="34"/>
      <c r="J41" s="131"/>
    </row>
    <row r="42" spans="1:10" ht="14.25">
      <c r="A42" s="91"/>
      <c r="B42" s="91"/>
      <c r="C42" s="34"/>
      <c r="D42" s="34"/>
      <c r="E42" s="131"/>
      <c r="F42" s="91"/>
      <c r="G42" s="91"/>
      <c r="H42" s="34"/>
      <c r="I42" s="34"/>
      <c r="J42" s="131"/>
    </row>
    <row r="43" spans="1:10" ht="14.25">
      <c r="A43" s="91"/>
      <c r="B43" s="91"/>
      <c r="C43" s="34"/>
      <c r="D43" s="34"/>
      <c r="E43" s="131"/>
      <c r="F43" s="2" t="s">
        <v>416</v>
      </c>
      <c r="G43" s="91"/>
      <c r="H43" s="34"/>
      <c r="I43" s="34"/>
      <c r="J43" s="131"/>
    </row>
    <row r="44" spans="1:10" ht="14.25">
      <c r="A44" s="91"/>
      <c r="B44" s="91"/>
      <c r="C44" s="34"/>
      <c r="D44" s="34"/>
      <c r="E44" s="131"/>
      <c r="F44" s="2" t="s">
        <v>136</v>
      </c>
      <c r="G44" s="91"/>
      <c r="H44" s="34"/>
      <c r="I44" s="34"/>
      <c r="J44" s="131"/>
    </row>
    <row r="45" spans="1:10" ht="14.25">
      <c r="A45" s="91"/>
      <c r="B45" s="91"/>
      <c r="C45" s="34"/>
      <c r="D45" s="34"/>
      <c r="E45" s="131"/>
      <c r="G45" s="91"/>
      <c r="H45" s="34"/>
      <c r="I45" s="34"/>
      <c r="J45" s="131"/>
    </row>
    <row r="46" spans="1:10" ht="14.25">
      <c r="A46" s="91"/>
      <c r="B46" s="91"/>
      <c r="C46" s="34"/>
      <c r="D46" s="34"/>
      <c r="E46" s="131"/>
      <c r="G46" s="91"/>
      <c r="H46" s="34"/>
      <c r="I46" s="34"/>
      <c r="J46" s="131"/>
    </row>
    <row r="47" spans="1:10" ht="14.25">
      <c r="A47" s="91"/>
      <c r="B47" s="91"/>
      <c r="C47" s="34"/>
      <c r="D47" s="34"/>
      <c r="E47" s="131"/>
      <c r="G47" s="91"/>
      <c r="H47" s="34"/>
      <c r="I47" s="34"/>
      <c r="J47" s="131"/>
    </row>
    <row r="48" spans="3:10" ht="12.75">
      <c r="C48" s="34"/>
      <c r="D48" s="34"/>
      <c r="E48" s="131"/>
      <c r="H48" s="34"/>
      <c r="I48" s="34"/>
      <c r="J48" s="131"/>
    </row>
    <row r="49" spans="3:10" ht="12.75">
      <c r="C49" s="34"/>
      <c r="D49" s="34"/>
      <c r="E49" s="131"/>
      <c r="H49" s="34"/>
      <c r="I49" s="34"/>
      <c r="J49" s="131"/>
    </row>
    <row r="50" spans="3:10" ht="12.75">
      <c r="C50" s="34"/>
      <c r="D50" s="34"/>
      <c r="E50" s="131"/>
      <c r="H50" s="34"/>
      <c r="I50" s="34"/>
      <c r="J50" s="131"/>
    </row>
    <row r="51" spans="3:10" ht="12.75">
      <c r="C51" s="133"/>
      <c r="D51" s="34"/>
      <c r="E51" s="131"/>
      <c r="H51" s="133"/>
      <c r="I51" s="34"/>
      <c r="J51" s="131"/>
    </row>
    <row r="52" spans="2:9" ht="12.75">
      <c r="B52" s="34"/>
      <c r="C52" s="34"/>
      <c r="D52" s="131"/>
      <c r="G52" s="34"/>
      <c r="H52" s="34"/>
      <c r="I52" s="131"/>
    </row>
    <row r="53" spans="2:9" ht="12.75">
      <c r="B53" s="34"/>
      <c r="C53" s="34"/>
      <c r="D53" s="131"/>
      <c r="G53" s="34"/>
      <c r="H53" s="34"/>
      <c r="I53" s="131"/>
    </row>
    <row r="54" spans="2:9" ht="12.75">
      <c r="B54" s="34"/>
      <c r="C54" s="34"/>
      <c r="D54" s="131"/>
      <c r="G54" s="34"/>
      <c r="H54" s="34"/>
      <c r="I54" s="131"/>
    </row>
    <row r="55" spans="2:9" ht="12.75">
      <c r="B55" s="133"/>
      <c r="C55" s="34"/>
      <c r="D55" s="131"/>
      <c r="G55" s="133"/>
      <c r="H55" s="34"/>
      <c r="I55" s="131"/>
    </row>
    <row r="56" spans="2:9" ht="12.75">
      <c r="B56" s="133"/>
      <c r="C56" s="34"/>
      <c r="D56" s="131"/>
      <c r="G56" s="133"/>
      <c r="H56" s="34"/>
      <c r="I56" s="131"/>
    </row>
    <row r="57" spans="2:9" ht="12.75">
      <c r="B57" s="133"/>
      <c r="C57" s="34"/>
      <c r="D57" s="131"/>
      <c r="G57" s="133"/>
      <c r="H57" s="34"/>
      <c r="I57" s="131"/>
    </row>
    <row r="58" spans="2:9" ht="12.75">
      <c r="B58" s="133"/>
      <c r="C58" s="48"/>
      <c r="D58" s="131"/>
      <c r="G58" s="133"/>
      <c r="H58" s="48"/>
      <c r="I58" s="131"/>
    </row>
    <row r="59" spans="2:9" ht="12.75">
      <c r="B59" s="133"/>
      <c r="C59" s="48"/>
      <c r="D59" s="131"/>
      <c r="G59" s="133"/>
      <c r="H59" s="48"/>
      <c r="I59" s="131"/>
    </row>
    <row r="60" spans="2:9" ht="12.75">
      <c r="B60" s="133"/>
      <c r="C60" s="48"/>
      <c r="D60" s="131"/>
      <c r="G60" s="133"/>
      <c r="H60" s="48"/>
      <c r="I60" s="131"/>
    </row>
    <row r="61" spans="2:9" ht="12.75">
      <c r="B61" s="133"/>
      <c r="C61" s="48"/>
      <c r="D61" s="131"/>
      <c r="G61" s="133"/>
      <c r="H61" s="48"/>
      <c r="I61" s="131"/>
    </row>
    <row r="62" spans="2:9" ht="12.75">
      <c r="B62" s="133"/>
      <c r="C62" s="48"/>
      <c r="D62" s="131"/>
      <c r="G62" s="133"/>
      <c r="H62" s="48"/>
      <c r="I62" s="131"/>
    </row>
    <row r="63" spans="2:9" ht="12.75">
      <c r="B63" s="133"/>
      <c r="C63" s="48"/>
      <c r="D63" s="131"/>
      <c r="G63" s="133"/>
      <c r="H63" s="48"/>
      <c r="I63" s="131"/>
    </row>
    <row r="64" spans="2:9" ht="12.75">
      <c r="B64" s="133"/>
      <c r="C64" s="48"/>
      <c r="D64" s="131"/>
      <c r="G64" s="133"/>
      <c r="H64" s="48"/>
      <c r="I64" s="131"/>
    </row>
    <row r="65" spans="2:9" ht="12.75">
      <c r="B65" s="133"/>
      <c r="C65" s="48"/>
      <c r="D65" s="131"/>
      <c r="G65" s="133"/>
      <c r="H65" s="48"/>
      <c r="I65" s="131"/>
    </row>
    <row r="66" spans="2:9" ht="12.75">
      <c r="B66" s="133"/>
      <c r="C66" s="48"/>
      <c r="D66" s="131"/>
      <c r="G66" s="133"/>
      <c r="H66" s="48"/>
      <c r="I66" s="131"/>
    </row>
    <row r="67" spans="2:9" ht="12.75">
      <c r="B67" s="133"/>
      <c r="C67" s="48"/>
      <c r="D67" s="131"/>
      <c r="G67" s="133"/>
      <c r="H67" s="48"/>
      <c r="I67" s="131"/>
    </row>
    <row r="68" spans="2:9" ht="12.75">
      <c r="B68" s="133"/>
      <c r="C68" s="48"/>
      <c r="D68" s="131"/>
      <c r="G68" s="133"/>
      <c r="H68" s="48"/>
      <c r="I68" s="131"/>
    </row>
    <row r="69" spans="2:9" ht="12.75">
      <c r="B69" s="133"/>
      <c r="C69" s="48"/>
      <c r="D69" s="131"/>
      <c r="G69" s="133"/>
      <c r="H69" s="48"/>
      <c r="I69" s="131"/>
    </row>
    <row r="70" spans="2:9" ht="12.75">
      <c r="B70" s="133"/>
      <c r="C70" s="48"/>
      <c r="D70" s="131"/>
      <c r="G70" s="133"/>
      <c r="H70" s="48"/>
      <c r="I70" s="131"/>
    </row>
    <row r="71" spans="2:9" ht="12.75">
      <c r="B71" s="133"/>
      <c r="C71" s="48"/>
      <c r="D71" s="131"/>
      <c r="G71" s="133"/>
      <c r="H71" s="48"/>
      <c r="I71" s="131"/>
    </row>
    <row r="72" spans="2:9" ht="12.75">
      <c r="B72" s="133"/>
      <c r="C72" s="48"/>
      <c r="D72" s="131"/>
      <c r="G72" s="133"/>
      <c r="H72" s="48"/>
      <c r="I72" s="131"/>
    </row>
    <row r="73" spans="2:9" ht="12.75">
      <c r="B73" s="133"/>
      <c r="C73" s="48"/>
      <c r="D73" s="131"/>
      <c r="G73" s="133"/>
      <c r="H73" s="48"/>
      <c r="I73" s="131"/>
    </row>
    <row r="74" spans="2:9" ht="12.75">
      <c r="B74" s="133"/>
      <c r="C74" s="48"/>
      <c r="D74" s="131"/>
      <c r="G74" s="133"/>
      <c r="H74" s="48"/>
      <c r="I74" s="131"/>
    </row>
    <row r="75" spans="2:9" ht="12.75">
      <c r="B75" s="133"/>
      <c r="C75" s="48"/>
      <c r="D75" s="131"/>
      <c r="G75" s="133"/>
      <c r="H75" s="48"/>
      <c r="I75" s="131"/>
    </row>
    <row r="76" spans="2:9" ht="12.75">
      <c r="B76" s="133"/>
      <c r="C76" s="48"/>
      <c r="D76" s="131"/>
      <c r="G76" s="133"/>
      <c r="H76" s="48"/>
      <c r="I76" s="131"/>
    </row>
    <row r="77" spans="2:9" ht="12.75">
      <c r="B77" s="133"/>
      <c r="C77" s="48"/>
      <c r="D77" s="131"/>
      <c r="G77" s="133"/>
      <c r="H77" s="48"/>
      <c r="I77" s="131"/>
    </row>
    <row r="78" spans="2:9" ht="12">
      <c r="B78" s="133"/>
      <c r="D78" s="131"/>
      <c r="G78" s="133"/>
      <c r="I78" s="131"/>
    </row>
    <row r="79" spans="2:9" ht="12">
      <c r="B79" s="133"/>
      <c r="D79" s="131"/>
      <c r="G79" s="133"/>
      <c r="I79" s="131"/>
    </row>
    <row r="80" spans="2:9" ht="12">
      <c r="B80" s="133"/>
      <c r="D80" s="131"/>
      <c r="G80" s="133"/>
      <c r="I80" s="131"/>
    </row>
    <row r="81" spans="2:9" ht="12">
      <c r="B81" s="133"/>
      <c r="D81" s="131"/>
      <c r="G81" s="133"/>
      <c r="I81" s="131"/>
    </row>
    <row r="82" spans="2:9" ht="12">
      <c r="B82" s="133"/>
      <c r="D82" s="131"/>
      <c r="G82" s="133"/>
      <c r="I82" s="131"/>
    </row>
    <row r="83" spans="2:9" ht="12">
      <c r="B83" s="133"/>
      <c r="D83" s="131"/>
      <c r="G83" s="133"/>
      <c r="I83" s="131"/>
    </row>
    <row r="84" spans="2:9" ht="12">
      <c r="B84" s="133"/>
      <c r="D84" s="131"/>
      <c r="G84" s="133"/>
      <c r="I84" s="131"/>
    </row>
    <row r="85" spans="2:9" ht="12">
      <c r="B85" s="133"/>
      <c r="D85" s="131"/>
      <c r="G85" s="133"/>
      <c r="I85" s="131"/>
    </row>
    <row r="86" spans="2:9" ht="12">
      <c r="B86" s="133"/>
      <c r="D86" s="131"/>
      <c r="G86" s="133"/>
      <c r="I86" s="131"/>
    </row>
    <row r="87" spans="2:9" ht="12">
      <c r="B87" s="133"/>
      <c r="D87" s="131"/>
      <c r="G87" s="133"/>
      <c r="I87" s="131"/>
    </row>
    <row r="88" spans="2:9" ht="12">
      <c r="B88" s="133"/>
      <c r="D88" s="131"/>
      <c r="G88" s="133"/>
      <c r="I88" s="131"/>
    </row>
    <row r="89" spans="2:9" ht="12">
      <c r="B89" s="133"/>
      <c r="D89" s="131"/>
      <c r="G89" s="133"/>
      <c r="I89" s="131"/>
    </row>
    <row r="90" spans="2:9" ht="12">
      <c r="B90" s="133"/>
      <c r="D90" s="131"/>
      <c r="G90" s="133"/>
      <c r="I90" s="131"/>
    </row>
    <row r="91" spans="2:9" ht="12">
      <c r="B91" s="133"/>
      <c r="D91" s="131"/>
      <c r="G91" s="133"/>
      <c r="I91" s="131"/>
    </row>
    <row r="92" spans="2:9" ht="12">
      <c r="B92" s="133"/>
      <c r="D92" s="131"/>
      <c r="G92" s="133"/>
      <c r="I92" s="131"/>
    </row>
    <row r="93" spans="2:9" ht="12">
      <c r="B93" s="133"/>
      <c r="D93" s="131"/>
      <c r="G93" s="133"/>
      <c r="I93" s="131"/>
    </row>
    <row r="94" spans="2:9" ht="12">
      <c r="B94" s="133"/>
      <c r="D94" s="131"/>
      <c r="G94" s="133"/>
      <c r="I94" s="131"/>
    </row>
    <row r="95" spans="2:9" ht="12">
      <c r="B95" s="133"/>
      <c r="D95" s="131"/>
      <c r="G95" s="133"/>
      <c r="I95" s="131"/>
    </row>
    <row r="96" spans="2:9" ht="12">
      <c r="B96" s="133"/>
      <c r="D96" s="131"/>
      <c r="G96" s="133"/>
      <c r="I96" s="131"/>
    </row>
    <row r="97" spans="2:9" ht="12">
      <c r="B97" s="133"/>
      <c r="D97" s="131"/>
      <c r="G97" s="133"/>
      <c r="I97" s="131"/>
    </row>
    <row r="98" spans="2:9" ht="12">
      <c r="B98" s="133"/>
      <c r="D98" s="131"/>
      <c r="G98" s="133"/>
      <c r="I98" s="131"/>
    </row>
    <row r="99" spans="2:9" ht="12">
      <c r="B99" s="133"/>
      <c r="D99" s="131"/>
      <c r="G99" s="133"/>
      <c r="I99" s="131"/>
    </row>
    <row r="100" spans="2:9" ht="12">
      <c r="B100" s="133"/>
      <c r="D100" s="131"/>
      <c r="G100" s="133"/>
      <c r="I100" s="131"/>
    </row>
    <row r="101" spans="2:9" ht="12">
      <c r="B101" s="133"/>
      <c r="D101" s="131"/>
      <c r="G101" s="133"/>
      <c r="I101" s="131"/>
    </row>
    <row r="102" spans="2:9" ht="12">
      <c r="B102" s="133"/>
      <c r="D102" s="131"/>
      <c r="G102" s="133"/>
      <c r="I102" s="131"/>
    </row>
    <row r="103" spans="2:9" ht="12">
      <c r="B103" s="133"/>
      <c r="D103" s="131"/>
      <c r="G103" s="133"/>
      <c r="I103" s="131"/>
    </row>
    <row r="104" spans="2:9" ht="12">
      <c r="B104" s="133"/>
      <c r="D104" s="131"/>
      <c r="G104" s="133"/>
      <c r="I104" s="131"/>
    </row>
    <row r="105" spans="2:7" ht="12">
      <c r="B105" s="133"/>
      <c r="G105" s="133"/>
    </row>
    <row r="106" spans="2:7" ht="12">
      <c r="B106" s="133"/>
      <c r="G106" s="133"/>
    </row>
    <row r="107" spans="2:7" ht="12">
      <c r="B107" s="133"/>
      <c r="G107" s="133"/>
    </row>
    <row r="108" spans="2:7" ht="12">
      <c r="B108" s="133"/>
      <c r="G108" s="133"/>
    </row>
    <row r="109" spans="2:7" ht="12">
      <c r="B109" s="133"/>
      <c r="G109" s="133"/>
    </row>
    <row r="110" spans="2:7" ht="12">
      <c r="B110" s="133"/>
      <c r="G110" s="133"/>
    </row>
    <row r="111" spans="2:7" ht="12">
      <c r="B111" s="133"/>
      <c r="G111" s="133"/>
    </row>
    <row r="112" spans="2:7" ht="12">
      <c r="B112" s="133"/>
      <c r="G112" s="133"/>
    </row>
    <row r="113" spans="2:7" ht="12">
      <c r="B113" s="133"/>
      <c r="G113" s="133"/>
    </row>
  </sheetData>
  <mergeCells count="2">
    <mergeCell ref="F4:J4"/>
    <mergeCell ref="F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IlzeM</cp:lastModifiedBy>
  <dcterms:created xsi:type="dcterms:W3CDTF">1999-11-15T14:31:14Z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