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firstSheet="11" activeTab="11"/>
  </bookViews>
  <sheets>
    <sheet name="kopbudzets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ula" sheetId="12" r:id="rId12"/>
    <sheet name="12.tabula" sheetId="13" r:id="rId13"/>
    <sheet name="13.tabula" sheetId="14" r:id="rId14"/>
    <sheet name="14.tabula" sheetId="15" r:id="rId15"/>
    <sheet name="15.tabula" sheetId="16" r:id="rId16"/>
    <sheet name="16.tabula" sheetId="17" r:id="rId17"/>
    <sheet name="17.tabula" sheetId="18" r:id="rId18"/>
    <sheet name="18.tabula" sheetId="19" r:id="rId19"/>
    <sheet name="19.tabula" sheetId="20" r:id="rId20"/>
    <sheet name="20.tabula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2">'12.tabula'!$A$1:$E$59</definedName>
    <definedName name="_xlnm.Print_Area" localSheetId="13">'13.tabula'!$A$1:$F$47</definedName>
    <definedName name="_xlnm.Print_Area" localSheetId="14">'14.tabula'!$A$1:$E$47</definedName>
    <definedName name="_xlnm.Print_Area" localSheetId="15">'15.tabula'!$A$1:$E$34</definedName>
    <definedName name="_xlnm.Print_Area" localSheetId="16">'16.tabula'!$A$1:$E$49</definedName>
    <definedName name="_xlnm.Print_Titles" localSheetId="11">'11.tabula'!$5:$7</definedName>
    <definedName name="_xlnm.Print_Titles" localSheetId="17">'17.tabula'!$8:$11</definedName>
    <definedName name="_xlnm.Print_Titles" localSheetId="18">'18.tabula'!$8:$11</definedName>
    <definedName name="_xlnm.Print_Titles" localSheetId="20">'20.tabula'!$7:$9</definedName>
  </definedNames>
  <calcPr fullCalcOnLoad="1"/>
</workbook>
</file>

<file path=xl/sharedStrings.xml><?xml version="1.0" encoding="utf-8"?>
<sst xmlns="http://schemas.openxmlformats.org/spreadsheetml/2006/main" count="2393" uniqueCount="741">
  <si>
    <t>Valsts kases oficiālais mēneša pārskats par valsts kopbudžeta izpildi
(2000. gada janvāris - aprīlis)</t>
  </si>
  <si>
    <t xml:space="preserve">                (tūkst.latu)</t>
  </si>
  <si>
    <t>Rādītāji</t>
  </si>
  <si>
    <t>Konsolidētais
valsts budžets*</t>
  </si>
  <si>
    <t>Konsolidētais
pašvaldību budžets</t>
  </si>
  <si>
    <t>Konsolidētais kopbudžets</t>
  </si>
  <si>
    <t>Aprīļa izpilde</t>
  </si>
  <si>
    <t>1. Ieņēmumi (bruto)</t>
  </si>
  <si>
    <t>mīnus transferts no valsts pamatbudžeta pašvaldību budžetos</t>
  </si>
  <si>
    <t>x</t>
  </si>
  <si>
    <t>mīnus transferts no valsts speciālā budžeta pašvaldību budžetos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</si>
  <si>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</si>
  <si>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</si>
  <si>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</si>
  <si>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</si>
  <si>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</si>
  <si>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</si>
  <si>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</si>
  <si>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</si>
  <si>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</si>
  <si>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</si>
  <si>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</si>
  <si>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>mīnus pašvaldību aizdevumu atmaksas valsts pamatbudžetam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</si>
  <si>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</si>
  <si>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</si>
  <si>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</si>
  <si>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</si>
  <si>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</si>
  <si>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</si>
  <si>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</si>
  <si>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</si>
  <si>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</si>
  <si>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No Latvijas Bankas</t>
  </si>
  <si>
    <t xml:space="preserve">         Depozītu apjoma izmaiņas</t>
  </si>
  <si>
    <t>Norēķinu kontu
atlikumu izmaiņas</t>
  </si>
  <si>
    <t xml:space="preserve">         Valsts iekšējā aizņēmuma vērtspapīri</t>
  </si>
  <si>
    <t>No komercbankām</t>
  </si>
  <si>
    <t xml:space="preserve"> Tīrais aizņēmumu apjoms</t>
  </si>
  <si>
    <t>Pārējā iekšējā finansēšana</t>
  </si>
  <si>
    <t>6.2. Ārējā finansēšana</t>
  </si>
  <si>
    <t>* ieskaitot budžeta iestāžu saņemtos ziedojumus, dāvinājumus un pārējo ārvalstu finansu palīdzību</t>
  </si>
  <si>
    <t>Valsts kases pārvaldnieks                                                                            A.Veiss</t>
  </si>
  <si>
    <t>Valsts kase/Pārskatu departaments</t>
  </si>
  <si>
    <t>2000.gada 15.maijs</t>
  </si>
  <si>
    <t>1.tabula</t>
  </si>
  <si>
    <t xml:space="preserve"> Valsts kases oficiālais mēneša pārskats</t>
  </si>
  <si>
    <t>Valsts konsolidētā budžeta izpilde (2000.gada janvāris)</t>
  </si>
  <si>
    <t>Valsts konsolidētā budžeta izpilde (2000. gada janvāris - aprīlis)</t>
  </si>
  <si>
    <t>(tūkst.latu)</t>
  </si>
  <si>
    <t>Likumā apstiprinātais gada plāns</t>
  </si>
  <si>
    <t>Izpilde no gada sākuma</t>
  </si>
  <si>
    <t>Izpilde  % pret gada plānu         (3/2)</t>
  </si>
  <si>
    <t xml:space="preserve">Janvāra  izpilde </t>
  </si>
  <si>
    <t xml:space="preserve">Aprīļa 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</si>
  <si>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</si>
  <si>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</si>
  <si>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</si>
  <si>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</si>
  <si>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</si>
  <si>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</si>
  <si>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</si>
  <si>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</si>
  <si>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</si>
  <si>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</si>
  <si>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    Nenodokļu ieņēmumi</t>
  </si>
  <si>
    <t xml:space="preserve">     Maksas pakalpojumi un citi pašu ieņēmumi</t>
  </si>
  <si>
    <t xml:space="preserve">     Ārvalstu finansu palīdzība</t>
  </si>
  <si>
    <t xml:space="preserve">     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</si>
  <si>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</si>
  <si>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</si>
  <si>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Nodokļu un nenodokļu ieņēmumi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</si>
  <si>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</si>
  <si>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</si>
  <si>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</si>
  <si>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Ārvalstu finansu palīdzība</t>
  </si>
  <si>
    <t xml:space="preserve">             Pārējie</t>
  </si>
  <si>
    <t xml:space="preserve">        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</si>
  <si>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</si>
  <si>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</si>
  <si>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budžeta uzturēšanas izdevumi (B.2.1.+C.2.1.)</t>
  </si>
  <si>
    <t>A.2.2. Kopējie valsts budžeta kapitālie izdevumi (B.2.2.+C.2.2.)</t>
  </si>
  <si>
    <t>A.2.3. Kopējie valsts budžeta izdevumi investīcijām (B.2.3.+C.2.3.)</t>
  </si>
  <si>
    <t>A.3. Valsts budžeta finansiālais deficīts (-), pārpalikums (+), (A.1.-A.2.)</t>
  </si>
  <si>
    <t>A.4. Kopējie valsts budžeta tīrie aizdevumi (B.4.+C.4.)</t>
  </si>
  <si>
    <t>Kopējie valsts budžeta izdevumi, ieskaitot tīros aizdevumus (A.2.+A.4.)</t>
  </si>
  <si>
    <t>A.5. Valsts budžeta fiskālais deficīts (-), pārpalikums (+), (A.3.-A.4.)</t>
  </si>
  <si>
    <t xml:space="preserve">  Valsts pamatbudžeta izdevumi (bruto)</t>
  </si>
  <si>
    <t xml:space="preserve">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</si>
  <si>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</si>
  <si>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</si>
  <si>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</si>
  <si>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</si>
  <si>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</si>
  <si>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</si>
  <si>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</si>
  <si>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</si>
  <si>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</si>
  <si>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</si>
  <si>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aizdevumi </t>
  </si>
  <si>
    <t>Valsts pamatbudžeta tīrie aizdevumi (bruto)</t>
  </si>
  <si>
    <t>B.4.1. Valsts pamatbudžeta tīrie aizdevumi (bruto)</t>
  </si>
  <si>
    <t xml:space="preserve">     Valsts pamatbudžeta tīrie aizdevumi (neto)</t>
  </si>
  <si>
    <t>B.5. Valsts pamatbudžeta fiskālais deficīts (-), pārpalikums (+), (B.3.- B.4.)</t>
  </si>
  <si>
    <t>B.5. Valsts pamatbudžeta fiskālais deficīts (-), pārpalikums (+), (B.3.- B.4.1)</t>
  </si>
  <si>
    <t xml:space="preserve">  Valsts speciālā budžeta izdevumi (bruto)</t>
  </si>
  <si>
    <t xml:space="preserve">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</si>
  <si>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</si>
  <si>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</si>
  <si>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</si>
  <si>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</si>
  <si>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</si>
  <si>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</si>
  <si>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</si>
  <si>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</si>
  <si>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</si>
  <si>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aizdevumi </t>
  </si>
  <si>
    <t xml:space="preserve">     Valsts speciālā budžeta aizdevumi (bruto)</t>
  </si>
  <si>
    <t xml:space="preserve">     Valsts speciālā budžeta aizdevumi (neto)</t>
  </si>
  <si>
    <t>C.5. Valsts speciālā budžeta fiskālais deficīts (-), pārpalikums (+), (C.3.- C.4.)</t>
  </si>
  <si>
    <t xml:space="preserve">Valsts kases pārvaldnieks ______________________________  (A.Veiss)                                                                    </t>
  </si>
  <si>
    <t>Valsts kase / Pārskatu departaments</t>
  </si>
  <si>
    <t>1999.gada 15.oktobris</t>
  </si>
  <si>
    <t>2.tabula</t>
  </si>
  <si>
    <t>Valsts kases oficiālais mēneša pārskats</t>
  </si>
  <si>
    <t xml:space="preserve">                    Valsts kases oficiālais mēneša pārskats</t>
  </si>
  <si>
    <t>Valsts pamatbudžeta ieņēmumi (2000.gada janvāris- aprīlis )</t>
  </si>
  <si>
    <t xml:space="preserve">Valsts pamatbudžeta ieņēmumi </t>
  </si>
  <si>
    <t xml:space="preserve">            ( 2000.gada janvāris - aprīlis )</t>
  </si>
  <si>
    <t>Gada sagaidāmā izpilde %</t>
  </si>
  <si>
    <t>Izpilde % pret gada plānu            (4/2)</t>
  </si>
  <si>
    <t>Marta izpilde</t>
  </si>
  <si>
    <t>1.Ieņēmumi - kopā  (1.1.+1.2.+1.3.+1.4)</t>
  </si>
  <si>
    <t>1.1. Nodokļu ieņēmumi</t>
  </si>
  <si>
    <t>97.75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</si>
  <si>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</si>
  <si>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</si>
  <si>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</si>
  <si>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</si>
  <si>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</si>
  <si>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</si>
  <si>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>Citiem budžetiem sadalāmie nodokļi *</t>
  </si>
  <si>
    <t>1.2. Nenodokļu ieņēmumi</t>
  </si>
  <si>
    <t xml:space="preserve">   Maksājumi par valsts kapitāla izmantošanu</t>
  </si>
  <si>
    <t xml:space="preserve">   Procentu maksājumi par kredītiem</t>
  </si>
  <si>
    <t xml:space="preserve">   Valsts nodevas par juridiskajiem un citiem pakalpojumiem</t>
  </si>
  <si>
    <t xml:space="preserve">   Valsts nodeva par licenču izsniegšanu atsevišķu uzņēmējdarbības veidu veikšanai</t>
  </si>
  <si>
    <t>Speciāliem mērķiem paredzētās nodevas</t>
  </si>
  <si>
    <t xml:space="preserve">   Speciāliem mērķiem paredzētās nodevas</t>
  </si>
  <si>
    <t xml:space="preserve">   Ienākumi no valsts īpašuma iznomāšanas</t>
  </si>
  <si>
    <t xml:space="preserve">   Ieņēmumi no valsts īpašuma iznomāšanas</t>
  </si>
  <si>
    <t xml:space="preserve">   Sodi un sankcijas</t>
  </si>
  <si>
    <t xml:space="preserve">   Pārējie nenodokļu ieņēmumi **</t>
  </si>
  <si>
    <t xml:space="preserve">  pārskaitījums valsts pamatbudžetā sociālās apdrošināšanas iemaksu administrēšanai</t>
  </si>
  <si>
    <t xml:space="preserve">  pārskaitījums valsts pamatbudžetā sociālās apdrošināšanas iemaksu administrēšanai un sporta nodarbību un brīvā  laika  pasākumiem</t>
  </si>
  <si>
    <t xml:space="preserve">   pārējie nenodokļu ieņēmumi</t>
  </si>
  <si>
    <t xml:space="preserve">   Citas iemaksas par nekustamo īpašumu</t>
  </si>
  <si>
    <t>t.sk. Ieņēmumi no Skrundas lokatora nomas maksas 50% apmērā</t>
  </si>
  <si>
    <t>1.3.Pašu ieņēmumi</t>
  </si>
  <si>
    <t xml:space="preserve">   Budžeta iestāžu ieņēmumi no maksas pakalpojumiem</t>
  </si>
  <si>
    <t>1.4. Ārvalstu finansu palīdzība</t>
  </si>
  <si>
    <t xml:space="preserve">1.4. Ārvalstu finansu palīdzība </t>
  </si>
  <si>
    <t>* - ieskaitot nodokli no īpašuma - 718683  latu</t>
  </si>
  <si>
    <t>* - ieskaitot nodokli no īpašuma -  719 tūkst. latu</t>
  </si>
  <si>
    <t>** - ieskaitot procentus par valsts depozītu - 1344957   latu</t>
  </si>
  <si>
    <t>** - ieskaitot procentus par valsts depozītu - 1 345  tūkst. latu</t>
  </si>
  <si>
    <t xml:space="preserve"> Nesadalītā ārvalstu finansu palīdzība - 13632114  latu</t>
  </si>
  <si>
    <t xml:space="preserve"> ārvalstu finansu palīdzība kontos - 13 632   tūkst.latu</t>
  </si>
  <si>
    <t xml:space="preserve">  ( t.sk.atlikums uz 01.01.2000)</t>
  </si>
  <si>
    <t xml:space="preserve">                    Valsts kases pārvaldnieks________________________________________(A.Veiss)</t>
  </si>
  <si>
    <t>Valsts kases pārvaldnieks________________________________________(A.Veiss)</t>
  </si>
  <si>
    <t>2000.gada 15. martā</t>
  </si>
  <si>
    <t>2000.gada 15.maijā</t>
  </si>
  <si>
    <t xml:space="preserve">Valsts kases oficiālais mēneša pārskats </t>
  </si>
  <si>
    <t>3.tabula</t>
  </si>
  <si>
    <t>Valsts pamatbudżeta izdevumi pa ministrijām un pasākumiem</t>
  </si>
  <si>
    <t xml:space="preserve">     Valsts pamatbudżeta izdevumi pa ministrijām un pasākumiem</t>
  </si>
  <si>
    <t>(2000.gada janvāris-aprīlis)</t>
  </si>
  <si>
    <t>kopā ar ārvalstu  finansu palīdzību</t>
  </si>
  <si>
    <t>(latos)</t>
  </si>
  <si>
    <t xml:space="preserve">Finansēšanas plāns pārskata periodam </t>
  </si>
  <si>
    <t>Izpilde % pret gada plānu (4/2)</t>
  </si>
  <si>
    <t>Izpilde % pret finansēša-nas plānu pārskata periodam 
  (4/3)</t>
  </si>
  <si>
    <t>Izpilde % pret finansēšanas plānu pārskata periodam 
  (4/3)</t>
  </si>
  <si>
    <t>mēneša izpilde</t>
  </si>
  <si>
    <t xml:space="preserve">   Izdevumi - kopā </t>
  </si>
  <si>
    <t xml:space="preserve">     Uzturēšanas izdevumi</t>
  </si>
  <si>
    <t xml:space="preserve">     Izdevumi kapitālieguldījumiem</t>
  </si>
  <si>
    <t>Valsts Prezidenta kanceleja</t>
  </si>
  <si>
    <t>Valsts prezidenta kanceleja</t>
  </si>
  <si>
    <t>Saeima</t>
  </si>
  <si>
    <t>Ministru Kabinets</t>
  </si>
  <si>
    <t>Aizsardzības ministrija</t>
  </si>
  <si>
    <t>Ārlietu ministrija</t>
  </si>
  <si>
    <t>Ekonomikas ministrija</t>
  </si>
  <si>
    <t>Finansu ministrija</t>
  </si>
  <si>
    <t>Iekšlietu ministrija</t>
  </si>
  <si>
    <t>Izglītības un zinātnes ministrija</t>
  </si>
  <si>
    <t>Zemkopības ministrija</t>
  </si>
  <si>
    <t>Satiksmes ministrija</t>
  </si>
  <si>
    <t>Labklājības ministrija</t>
  </si>
  <si>
    <t>Tieslietu ministrija</t>
  </si>
  <si>
    <t>Vides aizsardzības un reģionālās attīstības ministrija</t>
  </si>
  <si>
    <t>Kultūras ministrija</t>
  </si>
  <si>
    <t>Valsts zemes dienests</t>
  </si>
  <si>
    <t>Valsts kontrole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</si>
  <si>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</si>
  <si>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</si>
  <si>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</si>
  <si>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</si>
  <si>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</si>
  <si>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</si>
  <si>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Radio un televīzija</t>
  </si>
  <si>
    <t>Valsts cilvēktiesību birojs</t>
  </si>
  <si>
    <t>Īpašu uzdevumu ministra sadarbībai  ar starptautiskajām finansu institūcijām sekretariāts</t>
  </si>
  <si>
    <t>Īpašu uzdevumu ministra valsts pārvaldes  un  pašvaldību  reformu lietās  sekretariāts</t>
  </si>
  <si>
    <t>Īpašu uzdevumu ministra valsts pārvaldes  un  pašvaldību  reformas jautājumos  sekretariāts</t>
  </si>
  <si>
    <t>Mērķdotācijas pašvaldībām</t>
  </si>
  <si>
    <t>Dotācija pašvaldībām</t>
  </si>
  <si>
    <t>Valsts kases pārvaldnieks ________________________________________ (A.Veiss)</t>
  </si>
  <si>
    <t xml:space="preserve">        (paraksts)</t>
  </si>
  <si>
    <t>Valsts kases pārvaldnieks _________________________________________ (A.Veiss)</t>
  </si>
  <si>
    <t>2000. gada 15.aprīlis</t>
  </si>
  <si>
    <t>4.tabula</t>
  </si>
  <si>
    <t xml:space="preserve">           Valsts kases oficiālais mēneša pārskats</t>
  </si>
  <si>
    <t xml:space="preserve">Valsts pamatbudžeta ieņēmumu un izdevumu atšifrējums </t>
  </si>
  <si>
    <t xml:space="preserve">Valsts pamatbudžeta ieņēmumi un izdevumi  </t>
  </si>
  <si>
    <t>pēc ekonomiskās klasifikācijas</t>
  </si>
  <si>
    <t>(2000.gada janvāris - aprīlis )</t>
  </si>
  <si>
    <t>(2000.gada janvāris - aprīlis)</t>
  </si>
  <si>
    <t>Finansēšanas plāns pārskata periodam</t>
  </si>
  <si>
    <t>Izpilde % pret gada plānu      (4/2)</t>
  </si>
  <si>
    <t>Izpilde % pret finansēšanas plānu pārskata periodam       (4/3)</t>
  </si>
  <si>
    <t>Marta  izpilde</t>
  </si>
  <si>
    <t>Izpilde % pret finansēša-nas plānu pārskata periodam       (4/3)</t>
  </si>
  <si>
    <t>Aprīļa  izpilde</t>
  </si>
  <si>
    <t>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</si>
  <si>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</si>
  <si>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</si>
  <si>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</si>
  <si>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</si>
  <si>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Ārvalstu finansu palīdzība </t>
  </si>
  <si>
    <t xml:space="preserve"> Ārvalstu finansu palīdzība </t>
  </si>
  <si>
    <t>2. Izdevumi - kopā (2.1.+2.2.)</t>
  </si>
  <si>
    <t>2.1. Uzturēšanas izdevumi</t>
  </si>
  <si>
    <t>Kārtējie izdevumi</t>
  </si>
  <si>
    <t xml:space="preserve">    atalgojumi</t>
  </si>
  <si>
    <t xml:space="preserve">   valsts sociālās apdrošināšanas obligātās iemaksas</t>
  </si>
  <si>
    <t xml:space="preserve">    pārējie kārtējie izdevumi</t>
  </si>
  <si>
    <t>Maksājumi par aizņēmumiem un kredītiem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</si>
  <si>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</si>
  <si>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</si>
  <si>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</si>
  <si>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 xml:space="preserve">   Finansu ministrijas maksājumi par valsts     parāda apkalpošanu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</si>
  <si>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</si>
  <si>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</si>
  <si>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</si>
  <si>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</si>
  <si>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dotācijas iestādēm un organizācijām</t>
  </si>
  <si>
    <t xml:space="preserve">        t.sk.        speciālajam budžetam</t>
  </si>
  <si>
    <t xml:space="preserve">                 t.sk.speciālajam budžetam</t>
  </si>
  <si>
    <t xml:space="preserve"> pārējiem</t>
  </si>
  <si>
    <t xml:space="preserve">           pārējiem</t>
  </si>
  <si>
    <t xml:space="preserve">     dotācijas iedzīvotājiem</t>
  </si>
  <si>
    <t xml:space="preserve">              t.sk.          pensijas </t>
  </si>
  <si>
    <t xml:space="preserve">                 t.sk.        pensijas </t>
  </si>
  <si>
    <t xml:space="preserve"> pabalsti</t>
  </si>
  <si>
    <t xml:space="preserve">         pabalsti</t>
  </si>
  <si>
    <t xml:space="preserve">    stipendijas</t>
  </si>
  <si>
    <t xml:space="preserve">            stipendijas</t>
  </si>
  <si>
    <t xml:space="preserve"> pārējie</t>
  </si>
  <si>
    <t xml:space="preserve">      pārējie</t>
  </si>
  <si>
    <t xml:space="preserve">   iemaksas starptautiskajās organizācijās</t>
  </si>
  <si>
    <t>2.2.Izdevumi kapitālieguldījumiem</t>
  </si>
  <si>
    <t>Kapitālie izdevumi kopā</t>
  </si>
  <si>
    <t>Kapitālie izdevumi</t>
  </si>
  <si>
    <t>Investīcijas kopā</t>
  </si>
  <si>
    <t>Investīcijas</t>
  </si>
  <si>
    <t>t.sk. speciālajam budžetam</t>
  </si>
  <si>
    <t>t.sk. pašvaldību budžetam</t>
  </si>
  <si>
    <t>X</t>
  </si>
  <si>
    <t>3. Valsts budžeta tīrie aizdevumi (3.1.-3.2.)</t>
  </si>
  <si>
    <t>3.1.Valsts budžeta aizdevumi</t>
  </si>
  <si>
    <t>t.sk.speciālajam budžetam</t>
  </si>
  <si>
    <t>3.2.Valsts budžeta aizdevumu atmaksas</t>
  </si>
  <si>
    <t>t.sk. no speciālā budžeta</t>
  </si>
  <si>
    <t xml:space="preserve">Fiskālā bilance </t>
  </si>
  <si>
    <t>Finansēšana</t>
  </si>
  <si>
    <t>ieņēmumi no valsts īpašuma privatizācijas</t>
  </si>
  <si>
    <t xml:space="preserve">ieņēmumi no valsts īpašuma pārdošanas </t>
  </si>
  <si>
    <t xml:space="preserve">citi finansēšanas avoti </t>
  </si>
  <si>
    <t>Valsts kases pārvaldnieks _______________________________________ (A.Veiss)</t>
  </si>
  <si>
    <t>2000.gada 15.martā</t>
  </si>
  <si>
    <t>5.tabula</t>
  </si>
  <si>
    <t xml:space="preserve">             Valsts kases oficiālais mēneša pārskats</t>
  </si>
  <si>
    <t xml:space="preserve">Valsts speciālā budžeta ieņēmumi un izdevumi pa ministrijām </t>
  </si>
  <si>
    <t>(2000.gada  janvāris -aprīlis )</t>
  </si>
  <si>
    <t>latos</t>
  </si>
  <si>
    <t xml:space="preserve"> (tūkst.latu)</t>
  </si>
  <si>
    <t>Izpilde % pret gada plānu 
   (4/2)</t>
  </si>
  <si>
    <t>Finansēšanas plāns</t>
  </si>
  <si>
    <t xml:space="preserve">Ieņēmumi - kopā  </t>
  </si>
  <si>
    <t>Izdevumi - kopā</t>
  </si>
  <si>
    <t xml:space="preserve">        Uzturēšanas izdevumi </t>
  </si>
  <si>
    <t xml:space="preserve">        Uzturēšanas izdevumi  </t>
  </si>
  <si>
    <t xml:space="preserve">        Izdevumi kapitālieguldījumiem</t>
  </si>
  <si>
    <t>Valsts budžeta aizdevumi</t>
  </si>
  <si>
    <t>Valsts budžeta aizdevumu atmaksas</t>
  </si>
  <si>
    <t>Fiskālā bilance</t>
  </si>
  <si>
    <t>Aizņēmums no pamatbudžeta</t>
  </si>
  <si>
    <t>Centrālā dzīvojamo māju privatizācijas komisija</t>
  </si>
  <si>
    <t>Ieņēmumi</t>
  </si>
  <si>
    <t xml:space="preserve">       Atskaitījumi no valsts īpašuma privatizācijas</t>
  </si>
  <si>
    <t>Izdevumi</t>
  </si>
  <si>
    <t xml:space="preserve">        Uzturēšanas izdevumi</t>
  </si>
  <si>
    <t>Transportlīdzekļu īpašnieku civiltiesiskās atbildības obligātās apdrošināšanas sistēma</t>
  </si>
  <si>
    <t xml:space="preserve">    Atskaitījumi no apdrošināšanas prēmijām</t>
  </si>
  <si>
    <t xml:space="preserve">    Pārējie maksājumi</t>
  </si>
  <si>
    <t>Noguldījumu garantiju fonda veidošana, pārvaldīšana un izlietošana</t>
  </si>
  <si>
    <t xml:space="preserve">   Atskaitījumi no bankām</t>
  </si>
  <si>
    <t xml:space="preserve">   Atskaitījumi no komercbankām</t>
  </si>
  <si>
    <t xml:space="preserve">   Uzturēšanas izdevumi</t>
  </si>
  <si>
    <t>Augstas klases sasniegumu sports</t>
  </si>
  <si>
    <t xml:space="preserve">    Valsts pamatbudžeta dotācija</t>
  </si>
  <si>
    <t xml:space="preserve">    Uzturēšanas izdevumi</t>
  </si>
  <si>
    <t xml:space="preserve">               t.sk. aizņēmumu atmaksa</t>
  </si>
  <si>
    <t xml:space="preserve">           t.sk. aizņēmumu atmaksa</t>
  </si>
  <si>
    <t xml:space="preserve">    Izdevumi kapitālieguldījumiem</t>
  </si>
  <si>
    <t xml:space="preserve"> Studējošo un studiju kreditēšana</t>
  </si>
  <si>
    <t xml:space="preserve"> Zivju fonds</t>
  </si>
  <si>
    <t xml:space="preserve">   Maksa par rūpnieciskās zvejas tiesību nomu un izmantošanu</t>
  </si>
  <si>
    <t xml:space="preserve">   Pārējie ieņēmumi</t>
  </si>
  <si>
    <t>Valsts autoceļu fonds</t>
  </si>
  <si>
    <t xml:space="preserve">    Transportlīdzekļu ikgadējā nodeva</t>
  </si>
  <si>
    <t xml:space="preserve">    50%  akcīzes nodoklis par naftas produktiem</t>
  </si>
  <si>
    <t xml:space="preserve">   Ārvalstu finansu palīdzība</t>
  </si>
  <si>
    <t xml:space="preserve">   Ārvalstu finansu palīdzība </t>
  </si>
  <si>
    <t xml:space="preserve">        Izdevumi kapitālieguldļjumiem</t>
  </si>
  <si>
    <t>Ostu attīstības fonds</t>
  </si>
  <si>
    <t xml:space="preserve">    Ostas un kuģošanas nodeva</t>
  </si>
  <si>
    <t>Izlidošanas nodeva</t>
  </si>
  <si>
    <t xml:space="preserve">        Aizņēmums no pamatbudžeta</t>
  </si>
  <si>
    <t>Valsts speciālais veselības aprūpes budžets</t>
  </si>
  <si>
    <t xml:space="preserve">   Iedzīvotāju ienākuma nodoklis</t>
  </si>
  <si>
    <t xml:space="preserve">   Valsts pamatbudžeta dotācija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</si>
  <si>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</si>
  <si>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</si>
  <si>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</si>
  <si>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</si>
  <si>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 xml:space="preserve">Izdevumi </t>
  </si>
  <si>
    <t>Izdevumi  *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</si>
  <si>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</si>
  <si>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</si>
  <si>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</si>
  <si>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Darba negadījumu speciālais budžets</t>
  </si>
  <si>
    <t xml:space="preserve">    Invaliditātes, maternitātes un slimības speciālais budžets </t>
  </si>
  <si>
    <t xml:space="preserve">    Valsts sociālās apdrošināšanas aģentūra</t>
  </si>
  <si>
    <t xml:space="preserve">           Izdevumi kapitālieguldījumiem</t>
  </si>
  <si>
    <t>Vides aizsardzības fonds</t>
  </si>
  <si>
    <t xml:space="preserve">    Dabas resursu nodoklis</t>
  </si>
  <si>
    <t xml:space="preserve">    Akcīzes nodoklis par kurināmajiem naftas produktiem</t>
  </si>
  <si>
    <t>Skrundas RLS zemes nomas maksas līdzekļi</t>
  </si>
  <si>
    <t>Kultūrkapitāla fonds</t>
  </si>
  <si>
    <t xml:space="preserve">   Ienākumi no akcīzes nodokļa par alkoholiskajiem dzērieniem</t>
  </si>
  <si>
    <t xml:space="preserve">   Ienākumi no akcīzes nodokļa par tabakas izstrādājumiem</t>
  </si>
  <si>
    <t>Īpašu uzdevumu ministra sadarbībai ar starptautiskajām finansu institūcijām sekretariāts</t>
  </si>
  <si>
    <t xml:space="preserve">   Ieņēmumi no finansu institūcijām sniegtajiem pakalpojumiem</t>
  </si>
  <si>
    <r>
      <t xml:space="preserve">* </t>
    </r>
    <r>
      <rPr>
        <i/>
        <sz val="10"/>
        <rFont val="Arial"/>
        <family val="2"/>
      </rPr>
      <t>konsolidēts par sociālās apdrošināšanas iekšējiem pārskaitījumiem      10 985  (tūkst.latu)</t>
    </r>
  </si>
  <si>
    <t>Valsts kases pārvaldnieks _______________________________________  (A.Veiss)</t>
  </si>
  <si>
    <t>6.tabula</t>
  </si>
  <si>
    <t xml:space="preserve">                                  Valsts kases oficiālais mēneša pārskats</t>
  </si>
  <si>
    <t>Valsts speciālā budžeta ieņēmumi un izdevumi</t>
  </si>
  <si>
    <t xml:space="preserve">Valsts speciālā budžeta ieņēmumi un izdevumi </t>
  </si>
  <si>
    <t>Izpilde % pret finansē-šanas plānu pārskata periodam           (4/3)</t>
  </si>
  <si>
    <t>Izpilde % pret finansēšanas plānu pārskata periodam           (4/3)</t>
  </si>
  <si>
    <t>1.Ieņēmumi - kopā</t>
  </si>
  <si>
    <t>Īpašiem mērķiem iezīmēti ieņēmumi</t>
  </si>
  <si>
    <t>Maksas pakalpojumi un citi pašu ieņēmumi</t>
  </si>
  <si>
    <t>Ārvalstu finansu palīdzība</t>
  </si>
  <si>
    <t>2.1.Uzturēšanas izdevumi</t>
  </si>
  <si>
    <t xml:space="preserve">     aizņēmumu atmaksa</t>
  </si>
  <si>
    <t xml:space="preserve">    procentu nomaksa par iekšējiem aizņēmumiem</t>
  </si>
  <si>
    <t xml:space="preserve">    procentu nomaksa par ārvalstu aizņēmumiem</t>
  </si>
  <si>
    <t xml:space="preserve">    dotācijas iedzīvotājiem</t>
  </si>
  <si>
    <t xml:space="preserve">    t.sk. pensijas</t>
  </si>
  <si>
    <t xml:space="preserve">           pabalsti</t>
  </si>
  <si>
    <t xml:space="preserve">          stipendijas</t>
  </si>
  <si>
    <t xml:space="preserve">          pārējie</t>
  </si>
  <si>
    <t xml:space="preserve">    iemaksas starptautiskajās organizācijās</t>
  </si>
  <si>
    <t xml:space="preserve">    dotācija valsts pamatbudžetam sociālās      apdrošināšanas iemaksu administrēšanai</t>
  </si>
  <si>
    <t>3.Valsts budžeta tīrie aizdevumi (3.1.-3.2.)</t>
  </si>
  <si>
    <t>Fiskālā bilance (1.-2.-3.)</t>
  </si>
  <si>
    <t>Valsts speciālā budžeta naudas līdzekļu atlikumu izmaiņas palielinājums (-) vai samazinājums (+)</t>
  </si>
  <si>
    <t xml:space="preserve">     Valsts kases oficiālais mēneša pārskats</t>
  </si>
  <si>
    <t>7.tabula</t>
  </si>
  <si>
    <t xml:space="preserve">                                              Valsts kases oficiālais mēneša pārskats</t>
  </si>
  <si>
    <t>Valsts speciālā budžeta (dāvinājumi un ziedojumi) ieņēmumi un izdevumi</t>
  </si>
  <si>
    <t xml:space="preserve">                                              (2000.gada janvāris - aprīlis)</t>
  </si>
  <si>
    <t>Izpilde % pret finansēšanas plānu  (3/2)</t>
  </si>
  <si>
    <t>1.Saņemtie dāvinājumi un ziedojumi - kopā</t>
  </si>
  <si>
    <t xml:space="preserve">   no iekšzemes juridiskajām un fiziskajām personām</t>
  </si>
  <si>
    <t xml:space="preserve">   no ārvalstu juridiskajām un fiziskajām       personām</t>
  </si>
  <si>
    <t xml:space="preserve">   no ārvalstu juridiskajām un fiziskajām personām</t>
  </si>
  <si>
    <t>2.Izdevumi - kopā (2.1.+2.2.)</t>
  </si>
  <si>
    <t xml:space="preserve">    valsts sociālās apdrošināšanas obligātās iemaksas</t>
  </si>
  <si>
    <t xml:space="preserve">      preču un pakalpojumu izdevumi</t>
  </si>
  <si>
    <t xml:space="preserve">     t.sk. preču un pakalpojumu izdevumi</t>
  </si>
  <si>
    <t xml:space="preserve">          pārējie izdevumi</t>
  </si>
  <si>
    <t xml:space="preserve">            pārējie izdevumi</t>
  </si>
  <si>
    <t xml:space="preserve">     procentu nomaksa par iekšējiem aizņēmumiem</t>
  </si>
  <si>
    <t xml:space="preserve">     procentu nomaksa par ārvalstu aizņēmumiem</t>
  </si>
  <si>
    <t xml:space="preserve">     dotācijas iestādēm un organizācijām</t>
  </si>
  <si>
    <t>2.2.Izdevumi  kapitālieguldījumiem</t>
  </si>
  <si>
    <t>Fiskālā bilance (1.-2.)</t>
  </si>
  <si>
    <t>Naudas līdzekļu atlikumu izmaiņas palielinājums (-) vai samazinājums (+)</t>
  </si>
  <si>
    <t xml:space="preserve">                                               Valsts kases oficiālais mēneša pārskats</t>
  </si>
  <si>
    <t>8.tabula</t>
  </si>
  <si>
    <t xml:space="preserve">                         Valsts kases oficiālais mēneša pārskats</t>
  </si>
  <si>
    <t xml:space="preserve">                 Valsts pamatbudžeta izdevumi pēc valdības funkcijām</t>
  </si>
  <si>
    <t xml:space="preserve">                       ( 2000.gada janvāris - aprīlis)</t>
  </si>
  <si>
    <t>(latu)</t>
  </si>
  <si>
    <t>Valdības funkcijas kods</t>
  </si>
  <si>
    <t>Izpilde % pret gada plānu          (3/2)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</si>
  <si>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</si>
  <si>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</si>
  <si>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</si>
  <si>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</si>
  <si>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</si>
  <si>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</si>
  <si>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</si>
  <si>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</si>
  <si>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</si>
  <si>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</si>
  <si>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</si>
  <si>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</si>
  <si>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</si>
  <si>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>Pārējie izdevumi, kas nav atspoguļoti pamatgrupās *</t>
  </si>
  <si>
    <t>Pārējie izdevumi, kas nav atspoguļoti pamatgrupās  *</t>
  </si>
  <si>
    <t>* ieskaitot aizdevumus un atmaksas</t>
  </si>
  <si>
    <t>Valsts kases pārvaldnieks__________________________________</t>
  </si>
  <si>
    <t>A.Veiss</t>
  </si>
  <si>
    <t>Valsts kases pārvaldnieks________________________________</t>
  </si>
  <si>
    <t>(A.Veiss)</t>
  </si>
  <si>
    <t>Valsts kase /Pārskatu departaments</t>
  </si>
  <si>
    <t xml:space="preserve">                                                                 Valsts kases oficiālais mēneša pārskats</t>
  </si>
  <si>
    <t>9.tabula</t>
  </si>
  <si>
    <t xml:space="preserve">                                                      Valsts kases oficiālais mēneša pārskats</t>
  </si>
  <si>
    <t xml:space="preserve">                                                 Valsts speciālā budžeta izdevumi pēc valdības funkcijām</t>
  </si>
  <si>
    <t xml:space="preserve"> Valsts speciālā budžeta izdevumi pēc valdības funkcijām</t>
  </si>
  <si>
    <t xml:space="preserve">                                                                  (2000.gada janvāris - aprīlis)</t>
  </si>
  <si>
    <t>Izdevumi no ziedojumiem un dāvinājumiem</t>
  </si>
  <si>
    <t>Izglītība       *</t>
  </si>
  <si>
    <t>Izglītība   *</t>
  </si>
  <si>
    <t xml:space="preserve">Pārējie izdevumi, kas nav atspoguļoti pamatgrupās </t>
  </si>
  <si>
    <t>* -  ieskaitot  tīros  aizdevumus</t>
  </si>
  <si>
    <t>Valsts kases pārvaldnieks_________________________________</t>
  </si>
  <si>
    <t>10. tabula</t>
  </si>
  <si>
    <t>10.tabula</t>
  </si>
  <si>
    <t xml:space="preserve">Ārvalstu finansu palīdzības un valsts budžeta līdzdalības maksājumi </t>
  </si>
  <si>
    <t>(tūkst. latu)</t>
  </si>
  <si>
    <t xml:space="preserve">   1. Ārvalstu finansu palīdzība
un valsts pamatbudžeta 
līdzdalības maksājumi kopā</t>
  </si>
  <si>
    <t>Valsts pamatbudžets</t>
  </si>
  <si>
    <t xml:space="preserve">  Ārvalstu finansu palīdzība</t>
  </si>
  <si>
    <t xml:space="preserve">  Valsts pamatbudžets</t>
  </si>
  <si>
    <t xml:space="preserve">Tieslietu ministrija </t>
  </si>
  <si>
    <t>Vides aizsardzības un reģionālās 
attīstības ministrija</t>
  </si>
  <si>
    <t xml:space="preserve">   2. Ārvalstu finansu palīdzība
un valsts speciālā budžeta
līdzdalības maksājumi kopā</t>
  </si>
  <si>
    <t>Valsts speciālais budžets</t>
  </si>
  <si>
    <t xml:space="preserve">  Valsts speciālais budžets</t>
  </si>
  <si>
    <t>3. Pārējā ārvalstu finansu palīdzība</t>
  </si>
  <si>
    <t>2000. gada 15.maijā</t>
  </si>
  <si>
    <t xml:space="preserve">                                       Valsts kases oficiālais mēneša pārskats</t>
  </si>
  <si>
    <t>12. tabula</t>
  </si>
  <si>
    <t xml:space="preserve">      9.tabula</t>
  </si>
  <si>
    <t>Pašvaldību pamatbudžeta ieņēmumi</t>
  </si>
  <si>
    <t xml:space="preserve">( 2000. gada  janvāris - aprīlis ) </t>
  </si>
  <si>
    <t>Gada plāns</t>
  </si>
  <si>
    <t>Izpilde % pret gada plānu (3/2)</t>
  </si>
  <si>
    <t>1</t>
  </si>
  <si>
    <t>5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</si>
  <si>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</si>
  <si>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</si>
  <si>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</si>
  <si>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nodoklis* </t>
  </si>
  <si>
    <t xml:space="preserve">  Nekustamā īpašuma nodoklis</t>
  </si>
  <si>
    <t xml:space="preserve">  Īpašuma nodokļa maksājumi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</si>
  <si>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</si>
  <si>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</si>
  <si>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</si>
  <si>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</si>
  <si>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</si>
  <si>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</si>
  <si>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</si>
  <si>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</si>
  <si>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</si>
  <si>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</si>
  <si>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</si>
  <si>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</si>
  <si>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</si>
  <si>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</si>
  <si>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</si>
  <si>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</si>
  <si>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</si>
  <si>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Dotācijas no IM valsts ģimnāzijām</t>
  </si>
  <si>
    <t>Mērķdotācijas</t>
  </si>
  <si>
    <t>Valsts budžeta dotācija iedzīvotāju ienākuma nodokļa ieņēmumu prognozes neizpildes kompensācijai</t>
  </si>
  <si>
    <t>Maksājumi no pašvaldību  finansu izlīdzināšanas fonda pašvaldību budžetiem</t>
  </si>
  <si>
    <t>Iepriekšējā gada nesaņemtā dotācija</t>
  </si>
  <si>
    <t>Pārējie maksājumi no pašvaldību finansu izlīdzināšanas fonda pašvaldību budžetiem</t>
  </si>
  <si>
    <t>Maksājumi no citiem budžetiem</t>
  </si>
  <si>
    <t>* nesadalītais atlikums 1 164 tūkst.latu</t>
  </si>
  <si>
    <t>Valsts kases pārvaldnieks</t>
  </si>
  <si>
    <t>A. Veiss</t>
  </si>
  <si>
    <t xml:space="preserve">                                           Valsts kases oficiālais mēneša pārskats</t>
  </si>
  <si>
    <t>13. tabula</t>
  </si>
  <si>
    <t xml:space="preserve"> </t>
  </si>
  <si>
    <t xml:space="preserve">Pašvaldību pamatbudžeta izdevumi </t>
  </si>
  <si>
    <t>( 2000. gada  janvāris - aprīlis )</t>
  </si>
  <si>
    <t xml:space="preserve">                               (tūkst.latu)</t>
  </si>
  <si>
    <t>2</t>
  </si>
  <si>
    <t>3</t>
  </si>
  <si>
    <t>4</t>
  </si>
  <si>
    <t>1. Izdevumi kopā (1.1. + 1.2.) *</t>
  </si>
  <si>
    <t>1.1.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</si>
  <si>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</si>
  <si>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</si>
  <si>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</si>
  <si>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</si>
  <si>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</si>
  <si>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</si>
  <si>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</si>
  <si>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Pārējie izdevumi, kas nav klasificēti citās pamatfunkcijās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</si>
  <si>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</si>
  <si>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</si>
  <si>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</si>
  <si>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</si>
  <si>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</si>
  <si>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</si>
  <si>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>*   -   ieskaitot  tīros aizdevumus  -81  tūkst.latu</t>
  </si>
  <si>
    <t xml:space="preserve">                     Valsts kases oficiālais mēneša pārskats</t>
  </si>
  <si>
    <t>14. tabula</t>
  </si>
  <si>
    <t>Pašvaldību pamatbudžeta izdevumu atšifrējums pēc ekonomiskās klasifikācijas</t>
  </si>
  <si>
    <t xml:space="preserve">                                                             (tūkst.latu)</t>
  </si>
  <si>
    <t>2.Izdevumi  kopā (2.1. +2.2.)</t>
  </si>
  <si>
    <t xml:space="preserve">  atalgojumi </t>
  </si>
  <si>
    <t xml:space="preserve">  valsts sociālāis apdrošināšanas obligātās iemaksas </t>
  </si>
  <si>
    <t>1300</t>
  </si>
  <si>
    <t>1400</t>
  </si>
  <si>
    <t>1500</t>
  </si>
  <si>
    <t>1600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</si>
  <si>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</si>
  <si>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</si>
  <si>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</si>
  <si>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</si>
  <si>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</si>
  <si>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</si>
  <si>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</si>
  <si>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</si>
  <si>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</si>
  <si>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2.2. Izdevumi kapitālieguldījumiem</t>
  </si>
  <si>
    <t>6000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</si>
  <si>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</si>
  <si>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</si>
  <si>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</si>
  <si>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15. tabula</t>
  </si>
  <si>
    <t>Pašvaldību speciālā budžeta ieņēmumi un izdevumi</t>
  </si>
  <si>
    <t xml:space="preserve">                            (tūkst.latu)</t>
  </si>
  <si>
    <t>1. Ieņēmumi kopā (1.1. + 1.2.)</t>
  </si>
  <si>
    <t>1.1.Ieņēmumi no īpašiem mērķiem iezīmētu līdzekļu avotiem</t>
  </si>
  <si>
    <t xml:space="preserve">  Privatizācijas fonds</t>
  </si>
  <si>
    <t xml:space="preserve">  Dabas resursu nodoklis</t>
  </si>
  <si>
    <t xml:space="preserve">  Autoceļu (ielu) fonds</t>
  </si>
  <si>
    <t xml:space="preserve">  Pārējie ieņēmumi</t>
  </si>
  <si>
    <t>1.2.Ieņēmumi no ziedojumiem un dāvinājumiem</t>
  </si>
  <si>
    <t>2. Izdevumi kopā  (2.1. + 2.2.) *</t>
  </si>
  <si>
    <t>2.1.Izdevumi no īpašiem mērķiem iezīmētu līdzekļu avotiem</t>
  </si>
  <si>
    <t>2.2.Izdevumi no saņemto ziedojumu un dāvinājumu līdzekļiem</t>
  </si>
  <si>
    <t>*   -   ieskaitot  tīros aizdevumus  819  tūkst.latu</t>
  </si>
  <si>
    <t xml:space="preserve">                            Valsts kases oficiālais mēneša pārskats </t>
  </si>
  <si>
    <t>16. tabula</t>
  </si>
  <si>
    <t>Pašvaldību speciālā budžeta izdevumu atšifrējums pēc ekonomiskās klasifikācijas</t>
  </si>
  <si>
    <t xml:space="preserve">                                    (tūkst.latu)</t>
  </si>
  <si>
    <t>0010</t>
  </si>
  <si>
    <t xml:space="preserve">                                  pārējie izdevumi</t>
  </si>
  <si>
    <t xml:space="preserve">      Valsts kases oficiālais mēneša pārskats</t>
  </si>
  <si>
    <t>17. tabula</t>
  </si>
  <si>
    <t xml:space="preserve">Pašvaldību pamatbudžeta izpildes rādītāji </t>
  </si>
  <si>
    <t xml:space="preserve">                                                     (tūkst. latu)</t>
  </si>
  <si>
    <t>Izdevumi **</t>
  </si>
  <si>
    <t xml:space="preserve">   Iekšējā finansēšana</t>
  </si>
  <si>
    <t>tai skaitā</t>
  </si>
  <si>
    <t>Pilsētas, rajona nosaukums</t>
  </si>
  <si>
    <t xml:space="preserve">Nodokļu un nenodokļu ieņēmumi * </t>
  </si>
  <si>
    <t>Saņemtie maksājumi</t>
  </si>
  <si>
    <t>Ieņēmumi kopā (2+3)</t>
  </si>
  <si>
    <t>Izdevumi pēc valdības funkcijām</t>
  </si>
  <si>
    <t>Norēķini</t>
  </si>
  <si>
    <t>Izdevumi kopā (5+6)</t>
  </si>
  <si>
    <t>Fiskālais deficīts (-), pārpalikums (+) (4-7)</t>
  </si>
  <si>
    <t>Finansēšana                   -(4-7)</t>
  </si>
  <si>
    <t>Budžeta līdzekļu izmaiņas (12-13)</t>
  </si>
  <si>
    <t>Līdzekļu atlikums gada sākumā</t>
  </si>
  <si>
    <t>Līdzekļu atlikums perioda beigās</t>
  </si>
  <si>
    <t>No komerc-
bankām</t>
  </si>
  <si>
    <t>Ārējā  finansēšana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</si>
  <si>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</si>
  <si>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</si>
  <si>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</si>
  <si>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</si>
  <si>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</si>
  <si>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</si>
  <si>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</si>
  <si>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</si>
  <si>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</si>
  <si>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</si>
  <si>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</si>
  <si>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</si>
  <si>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</si>
  <si>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</si>
  <si>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</si>
  <si>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</si>
  <si>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</si>
  <si>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</si>
  <si>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</si>
  <si>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</si>
  <si>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</si>
  <si>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</si>
  <si>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</si>
  <si>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</si>
  <si>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</si>
  <si>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</si>
  <si>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</si>
  <si>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</si>
  <si>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</si>
  <si>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</si>
  <si>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</si>
  <si>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</si>
  <si>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</si>
  <si>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</si>
  <si>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</si>
  <si>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</si>
  <si>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</si>
  <si>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</si>
  <si>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-  neieskaitot iedzīvotāju ienākuma nodokļa atlikumu sadales kontā</t>
  </si>
  <si>
    <t xml:space="preserve">** -   ieskaitot  tīros aizdevumus </t>
  </si>
  <si>
    <t xml:space="preserve">Valsts kases pārvaldnieks </t>
  </si>
  <si>
    <t>_______________________________</t>
  </si>
  <si>
    <t xml:space="preserve">   A. Veiss</t>
  </si>
  <si>
    <t xml:space="preserve">Valsts kase / Pārskatu departaments </t>
  </si>
  <si>
    <t>15.04.00.</t>
  </si>
  <si>
    <t xml:space="preserve">                Valsts kases oficiālais pārskats</t>
  </si>
  <si>
    <t>18.tabula</t>
  </si>
  <si>
    <t>Pašvaldību speciālā budžeta izpildes rādītāji</t>
  </si>
  <si>
    <t xml:space="preserve">                            (tūkst. latu)</t>
  </si>
  <si>
    <t>Iekšējā finansēšana</t>
  </si>
  <si>
    <t>Rajona, pilsētas nosaukums</t>
  </si>
  <si>
    <t>Ieņēmumi kopā</t>
  </si>
  <si>
    <t>Izdevumi *   kopā</t>
  </si>
  <si>
    <t>Fiskālais deficīts (-), pārpalikums (+)       (2-3)</t>
  </si>
  <si>
    <t>Finansēšana       -(2-3)</t>
  </si>
  <si>
    <t>Budžeta līdzekļu izmaiņas         (8-9)</t>
  </si>
  <si>
    <t>Ārējā finansēšana</t>
  </si>
  <si>
    <t xml:space="preserve">*  -   ieskaitot  tīros aizdevumus </t>
  </si>
  <si>
    <t>15.05.00.</t>
  </si>
  <si>
    <t xml:space="preserve">                                      Valsts kases oficiālais mēneša pārskats</t>
  </si>
  <si>
    <t xml:space="preserve">                19. tabula</t>
  </si>
  <si>
    <t xml:space="preserve">                   Pašvaldību finansu izlīdzināšanas  fonda līdzekļi</t>
  </si>
  <si>
    <t xml:space="preserve">                   ( 2000. gada janvāris - aprīlis )</t>
  </si>
  <si>
    <t>Izpilde</t>
  </si>
  <si>
    <t xml:space="preserve">1. Ieņēmumi - kopā   </t>
  </si>
  <si>
    <t xml:space="preserve">Atlikums uz 2000.gada  1. janvāri </t>
  </si>
  <si>
    <t xml:space="preserve">Ieņēmumu prognozes neizpildes kompensācija - </t>
  </si>
  <si>
    <t>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</si>
  <si>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</si>
  <si>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</si>
  <si>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</si>
  <si>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</si>
  <si>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</si>
  <si>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Mērķdotācijas pašvaldību budžetiem</t>
  </si>
  <si>
    <t>3. Atlikums uz 2000.gada 1. maiju (1.- 2.)</t>
  </si>
  <si>
    <t>Valsts kases pārvaldnieks              __________________________________</t>
  </si>
  <si>
    <t xml:space="preserve">                                                                                         Valsts kases oficiālais mēneša pārskats</t>
  </si>
  <si>
    <t>20. tabula</t>
  </si>
  <si>
    <t>No valsts budžeta pārskaitītās mērķdotācijas pašvaldībām</t>
  </si>
  <si>
    <t xml:space="preserve">   ( 2000. gada janvāris - aprīlis )</t>
  </si>
  <si>
    <t xml:space="preserve">                (latos)</t>
  </si>
  <si>
    <t>Rajona vai pilsētas nosaukums</t>
  </si>
  <si>
    <t>Mērķdotācijas investīcijām   (13.pielikums)</t>
  </si>
  <si>
    <t xml:space="preserve">Mērķdotācijas specializētiem izglītības pasākumiem (11.pielikums) </t>
  </si>
  <si>
    <t xml:space="preserve">Mērķdotācijas pašvaldību pašdarbības kolektīviem (12.pielikums) </t>
  </si>
  <si>
    <t>Mērķdotācijas izglītības pasākumiem
(6.-10.pielikums)</t>
  </si>
  <si>
    <t xml:space="preserve">Pārējās mērķdotā-cijas </t>
  </si>
  <si>
    <t>Mērķdotācijas teritoriālplānošanai</t>
  </si>
  <si>
    <t>Mērķdotācijas
 kopā              (2+3+4+5+6+7+8)</t>
  </si>
  <si>
    <t>1999.g.</t>
  </si>
  <si>
    <t>2000.g.</t>
  </si>
  <si>
    <t>11. tabula</t>
  </si>
  <si>
    <t xml:space="preserve">Pašvaldību konsolidētā budžeta izpilde </t>
  </si>
  <si>
    <t xml:space="preserve">   ( 2000. gada  janvāris - aprīlis )</t>
  </si>
  <si>
    <t>A.1. Kopējie ieņēmumi (B.1.+ C.1)</t>
  </si>
  <si>
    <t xml:space="preserve"> 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</si>
  <si>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</si>
  <si>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</si>
  <si>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</si>
  <si>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</si>
  <si>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                  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</si>
  <si>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</si>
  <si>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</si>
  <si>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</si>
  <si>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</si>
  <si>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 xml:space="preserve">               Ieņēmumi no ziedojumiem un dāvinājumiem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</si>
  <si>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</si>
  <si>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</si>
  <si>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</si>
  <si>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</si>
  <si>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</si>
  <si>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</si>
  <si>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</si>
  <si>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</si>
  <si>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       (A.3.-A.4.)</t>
  </si>
  <si>
    <t xml:space="preserve">  Pašvaldību pamatbudžeta  izdevumi (bruto)</t>
  </si>
  <si>
    <t xml:space="preserve">                                mīnus  savstarpējo norēķinu kārtībā veiktie maksājumi</t>
  </si>
  <si>
    <t>B.2. Pašvaldību pamatbudžeta  izdevumi (neto)</t>
  </si>
  <si>
    <t xml:space="preserve">     Pašvaldību pamatbudžeta uzturēšanas izdevumi (bruto)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</si>
  <si>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</si>
  <si>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</si>
  <si>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</si>
  <si>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 (-), pārpalikums (+), (B.1.-B.2.)</t>
  </si>
  <si>
    <t xml:space="preserve">B.4.Pašvaldību pamatbudžeta  tīrie aizdevumi (neto) </t>
  </si>
  <si>
    <t xml:space="preserve">     Pašvaldību pamatbudžeta aizdevumi (neto)</t>
  </si>
  <si>
    <t xml:space="preserve">     Pašvaldību pamatbudžeta aizdevumu atmaksas (neto) </t>
  </si>
  <si>
    <t>B.5.Pašvaldību pamatbudžeta fiskālais deficīts (-), pārpalikums (+), (B.3.-B.4.)</t>
  </si>
  <si>
    <t xml:space="preserve">C.2. Pašvaldību speciālā budžeta  izdevumi 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</si>
  <si>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</si>
  <si>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</si>
  <si>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</si>
  <si>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(+), (C.1.- C.2.)</t>
  </si>
  <si>
    <t>C.4.Pašvaldību speciālā budžeta  tīrie aizdevumi (neto)</t>
  </si>
  <si>
    <t xml:space="preserve">     Pašvaldību speciālā budžeta aizdevumi (neto)</t>
  </si>
  <si>
    <t xml:space="preserve">     Pašvaldību speciālā budžeta aizdevumu atmaksas (neto)</t>
  </si>
  <si>
    <t>C.5.Pašvaldību speciālā budžeta fiskālais deficīts (-), pārpalikums (+), (C.3. - C.4.)</t>
  </si>
  <si>
    <t xml:space="preserve"> Valsts kases pārvaldnieks                                                            __________________________ </t>
  </si>
</sst>
</file>

<file path=xl/styles.xml><?xml version="1.0" encoding="utf-8"?>
<styleSheet xmlns="http://schemas.openxmlformats.org/spreadsheetml/2006/main">
  <numFmts count="5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###0"/>
    <numFmt numFmtId="166" formatCode="###,###,###"/>
    <numFmt numFmtId="167" formatCode="#,###%"/>
    <numFmt numFmtId="168" formatCode="0.0%"/>
    <numFmt numFmtId="169" formatCode="###,###,##0"/>
    <numFmt numFmtId="170" formatCode="###.0%"/>
    <numFmt numFmtId="171" formatCode="###%"/>
    <numFmt numFmtId="172" formatCode="#,###.0%"/>
    <numFmt numFmtId="173" formatCode="###,###"/>
    <numFmt numFmtId="174" formatCode="00.000"/>
    <numFmt numFmtId="175" formatCode="##0.0%"/>
    <numFmt numFmtId="176" formatCode="#,##0\ &quot;LVR&quot;;\-#,##0\ &quot;LVR&quot;"/>
    <numFmt numFmtId="177" formatCode="#,##0\ &quot;LVR&quot;;[Red]\-#,##0\ &quot;LVR&quot;"/>
    <numFmt numFmtId="178" formatCode="#,##0.00\ &quot;LVR&quot;;\-#,##0.00\ &quot;LVR&quot;"/>
    <numFmt numFmtId="179" formatCode="#,##0.00\ &quot;LVR&quot;;[Red]\-#,##0.00\ &quot;LVR&quot;"/>
    <numFmt numFmtId="180" formatCode="_-* #,##0\ &quot;LVR&quot;_-;\-* #,##0\ &quot;LVR&quot;_-;_-* &quot;-&quot;\ &quot;LVR&quot;_-;_-@_-"/>
    <numFmt numFmtId="181" formatCode="_-* #,##0\ _L_V_R_-;\-* #,##0\ _L_V_R_-;_-* &quot;-&quot;\ _L_V_R_-;_-@_-"/>
    <numFmt numFmtId="182" formatCode="_-* #,##0.00\ &quot;LVR&quot;_-;\-* #,##0.00\ &quot;LVR&quot;_-;_-* &quot;-&quot;??\ &quot;LVR&quot;_-;_-@_-"/>
    <numFmt numFmtId="183" formatCode="_-* #,##0.00\ _L_V_R_-;\-* #,##0.00\ _L_V_R_-;_-* &quot;-&quot;??\ _L_V_R_-;_-@_-"/>
    <numFmt numFmtId="184" formatCode="&quot;Ls&quot;#,##0_);\(&quot;Ls&quot;#,##0\)"/>
    <numFmt numFmtId="185" formatCode="&quot;Ls&quot;#,##0_);[Red]\(&quot;Ls&quot;#,##0\)"/>
    <numFmt numFmtId="186" formatCode="&quot;Ls&quot;#,##0.00_);\(&quot;Ls&quot;#,##0.00\)"/>
    <numFmt numFmtId="187" formatCode="&quot;Ls&quot;#,##0.00_);[Red]\(&quot;Ls&quot;#,##0.00\)"/>
    <numFmt numFmtId="188" formatCode="_(&quot;Ls&quot;* #,##0_);_(&quot;Ls&quot;* \(#,##0\);_(&quot;Ls&quot;* &quot;-&quot;_);_(@_)"/>
    <numFmt numFmtId="189" formatCode="_(* #,##0_);_(* \(#,##0\);_(* &quot;-&quot;_);_(@_)"/>
    <numFmt numFmtId="190" formatCode="_(&quot;Ls&quot;* #,##0.00_);_(&quot;Ls&quot;* \(#,##0.00\);_(&quot;Ls&quot;* &quot;-&quot;??_);_(@_)"/>
    <numFmt numFmtId="191" formatCode="_(* #,##0.00_);_(* \(#,##0.00\);_(* &quot;-&quot;??_);_(@_)"/>
    <numFmt numFmtId="192" formatCode="#,###,##0"/>
    <numFmt numFmtId="193" formatCode="#,000"/>
    <numFmt numFmtId="194" formatCode="#,###,000"/>
    <numFmt numFmtId="195" formatCode="#,"/>
    <numFmt numFmtId="196" formatCode="0,"/>
    <numFmt numFmtId="197" formatCode="##0"/>
    <numFmt numFmtId="198" formatCode="#0,"/>
    <numFmt numFmtId="199" formatCode="#,#00"/>
    <numFmt numFmtId="200" formatCode="#."/>
    <numFmt numFmtId="201" formatCode="##0,"/>
    <numFmt numFmtId="202" formatCode="##0,###"/>
    <numFmt numFmtId="203" formatCode="#,###"/>
    <numFmt numFmtId="204" formatCode="\ #,"/>
    <numFmt numFmtId="205" formatCode="\ #"/>
    <numFmt numFmtId="206" formatCode="#,###,000.0"/>
    <numFmt numFmtId="207" formatCode="_(* #,##0.000_);_(* \(#,##0.000\);_(* &quot;-&quot;??_);_(@_)"/>
    <numFmt numFmtId="208" formatCode="_(* #,##0.0_);_(* \(#,##0.0\);_(* &quot;-&quot;??_);_(@_)"/>
    <numFmt numFmtId="209" formatCode="_(* #,##0_);_(* \(#,##0\);_(* &quot;-&quot;??_);_(@_)"/>
    <numFmt numFmtId="210" formatCode="#\ ###\ ##0"/>
    <numFmt numFmtId="211" formatCode="#\ ###\ \ ##0"/>
    <numFmt numFmtId="212" formatCode="###,##0,"/>
    <numFmt numFmtId="213" formatCode="#,###,"/>
  </numFmts>
  <fonts count="2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name val="RimTimes"/>
      <family val="0"/>
    </font>
    <font>
      <b/>
      <sz val="10"/>
      <name val="RimTimes"/>
      <family val="0"/>
    </font>
    <font>
      <i/>
      <sz val="10"/>
      <name val="Times New Roman"/>
      <family val="0"/>
    </font>
    <font>
      <b/>
      <sz val="11"/>
      <name val="Arial"/>
      <family val="2"/>
    </font>
    <font>
      <i/>
      <sz val="11"/>
      <name val="Arial"/>
      <family val="2"/>
    </font>
    <font>
      <sz val="8.5"/>
      <name val="MS Sans Serif"/>
      <family val="0"/>
    </font>
    <font>
      <sz val="8.5"/>
      <name val="Arial"/>
      <family val="2"/>
    </font>
    <font>
      <b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</cellStyleXfs>
  <cellXfs count="71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65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166" fontId="3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/>
    </xf>
    <xf numFmtId="167" fontId="5" fillId="0" borderId="1" xfId="25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168" fontId="8" fillId="0" borderId="1" xfId="25" applyNumberFormat="1" applyFont="1" applyBorder="1" applyAlignment="1">
      <alignment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7" fontId="3" fillId="0" borderId="1" xfId="25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8" fontId="2" fillId="0" borderId="1" xfId="25" applyNumberFormat="1" applyFont="1" applyBorder="1" applyAlignment="1">
      <alignment/>
    </xf>
    <xf numFmtId="0" fontId="3" fillId="0" borderId="1" xfId="0" applyFont="1" applyBorder="1" applyAlignment="1">
      <alignment/>
    </xf>
    <xf numFmtId="168" fontId="3" fillId="0" borderId="1" xfId="25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66" fontId="6" fillId="0" borderId="1" xfId="0" applyNumberFormat="1" applyFont="1" applyBorder="1" applyAlignment="1">
      <alignment/>
    </xf>
    <xf numFmtId="169" fontId="6" fillId="0" borderId="1" xfId="0" applyNumberFormat="1" applyFont="1" applyBorder="1" applyAlignment="1">
      <alignment/>
    </xf>
    <xf numFmtId="168" fontId="6" fillId="0" borderId="1" xfId="25" applyNumberFormat="1" applyFont="1" applyBorder="1" applyAlignment="1">
      <alignment/>
    </xf>
    <xf numFmtId="0" fontId="8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/>
    </xf>
    <xf numFmtId="10" fontId="4" fillId="0" borderId="1" xfId="23" applyNumberFormat="1" applyFont="1" applyBorder="1" applyAlignment="1">
      <alignment/>
    </xf>
    <xf numFmtId="9" fontId="4" fillId="0" borderId="1" xfId="25" applyFont="1" applyBorder="1" applyAlignment="1">
      <alignment/>
    </xf>
    <xf numFmtId="3" fontId="8" fillId="0" borderId="1" xfId="0" applyNumberFormat="1" applyFont="1" applyBorder="1" applyAlignment="1">
      <alignment/>
    </xf>
    <xf numFmtId="10" fontId="8" fillId="0" borderId="1" xfId="0" applyNumberFormat="1" applyFont="1" applyBorder="1" applyAlignment="1">
      <alignment horizontal="right"/>
    </xf>
    <xf numFmtId="9" fontId="8" fillId="0" borderId="1" xfId="25" applyFont="1" applyBorder="1" applyAlignment="1">
      <alignment/>
    </xf>
    <xf numFmtId="0" fontId="4" fillId="0" borderId="1" xfId="0" applyFont="1" applyBorder="1" applyAlignment="1">
      <alignment horizontal="left"/>
    </xf>
    <xf numFmtId="49" fontId="4" fillId="0" borderId="1" xfId="25" applyNumberFormat="1" applyFont="1" applyFill="1" applyBorder="1" applyAlignment="1">
      <alignment horizontal="right"/>
    </xf>
    <xf numFmtId="164" fontId="8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right"/>
    </xf>
    <xf numFmtId="9" fontId="4" fillId="0" borderId="1" xfId="25" applyFont="1" applyFill="1" applyBorder="1" applyAlignment="1">
      <alignment/>
    </xf>
    <xf numFmtId="9" fontId="8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9" fontId="2" fillId="0" borderId="1" xfId="25" applyFont="1" applyFill="1" applyBorder="1" applyAlignment="1">
      <alignment/>
    </xf>
    <xf numFmtId="9" fontId="2" fillId="0" borderId="1" xfId="25" applyFont="1" applyBorder="1" applyAlignment="1">
      <alignment/>
    </xf>
    <xf numFmtId="9" fontId="3" fillId="0" borderId="1" xfId="0" applyNumberFormat="1" applyFont="1" applyBorder="1" applyAlignment="1">
      <alignment/>
    </xf>
    <xf numFmtId="9" fontId="3" fillId="0" borderId="1" xfId="25" applyFont="1" applyBorder="1" applyAlignment="1">
      <alignment/>
    </xf>
    <xf numFmtId="10" fontId="4" fillId="0" borderId="1" xfId="25" applyNumberFormat="1" applyFont="1" applyFill="1" applyBorder="1" applyAlignment="1">
      <alignment/>
    </xf>
    <xf numFmtId="10" fontId="2" fillId="0" borderId="1" xfId="25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10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9" fontId="2" fillId="0" borderId="1" xfId="25" applyNumberFormat="1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4" fillId="0" borderId="1" xfId="0" applyFont="1" applyFill="1" applyBorder="1" applyAlignment="1">
      <alignment wrapText="1"/>
    </xf>
    <xf numFmtId="3" fontId="0" fillId="0" borderId="1" xfId="0" applyNumberFormat="1" applyFont="1" applyBorder="1" applyAlignment="1">
      <alignment/>
    </xf>
    <xf numFmtId="9" fontId="4" fillId="0" borderId="1" xfId="25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9" fontId="0" fillId="0" borderId="1" xfId="25" applyFont="1" applyBorder="1" applyAlignment="1">
      <alignment/>
    </xf>
    <xf numFmtId="9" fontId="8" fillId="0" borderId="1" xfId="0" applyNumberFormat="1" applyFont="1" applyBorder="1" applyAlignment="1">
      <alignment horizontal="center"/>
    </xf>
    <xf numFmtId="10" fontId="8" fillId="0" borderId="1" xfId="25" applyNumberFormat="1" applyFont="1" applyFill="1" applyBorder="1" applyAlignment="1">
      <alignment/>
    </xf>
    <xf numFmtId="9" fontId="2" fillId="0" borderId="1" xfId="25" applyNumberFormat="1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/>
    </xf>
    <xf numFmtId="9" fontId="2" fillId="2" borderId="1" xfId="25" applyFont="1" applyFill="1" applyBorder="1" applyAlignment="1">
      <alignment/>
    </xf>
    <xf numFmtId="0" fontId="6" fillId="0" borderId="1" xfId="0" applyFont="1" applyBorder="1" applyAlignment="1">
      <alignment horizontal="center" wrapText="1"/>
    </xf>
    <xf numFmtId="9" fontId="6" fillId="0" borderId="1" xfId="0" applyNumberFormat="1" applyFont="1" applyBorder="1" applyAlignment="1">
      <alignment/>
    </xf>
    <xf numFmtId="9" fontId="6" fillId="0" borderId="1" xfId="25" applyFont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9" fontId="8" fillId="0" borderId="1" xfId="25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left" wrapText="1"/>
    </xf>
    <xf numFmtId="9" fontId="4" fillId="0" borderId="1" xfId="25" applyNumberFormat="1" applyFont="1" applyFill="1" applyBorder="1" applyAlignment="1">
      <alignment horizontal="right"/>
    </xf>
    <xf numFmtId="164" fontId="11" fillId="0" borderId="1" xfId="0" applyNumberFormat="1" applyFont="1" applyBorder="1" applyAlignment="1">
      <alignment/>
    </xf>
    <xf numFmtId="9" fontId="11" fillId="0" borderId="1" xfId="25" applyFont="1" applyBorder="1" applyAlignment="1">
      <alignment/>
    </xf>
    <xf numFmtId="0" fontId="4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0" fontId="0" fillId="0" borderId="0" xfId="25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Alignment="1">
      <alignment horizontal="centerContinuous"/>
    </xf>
    <xf numFmtId="10" fontId="0" fillId="0" borderId="0" xfId="0" applyNumberFormat="1" applyFont="1" applyAlignment="1">
      <alignment horizontal="centerContinuous"/>
    </xf>
    <xf numFmtId="0" fontId="3" fillId="0" borderId="0" xfId="0" applyFont="1" applyFill="1" applyBorder="1" applyAlignment="1">
      <alignment horizontal="left"/>
    </xf>
    <xf numFmtId="0" fontId="12" fillId="0" borderId="0" xfId="23" applyFont="1" applyFill="1" applyAlignment="1">
      <alignment/>
    </xf>
    <xf numFmtId="0" fontId="9" fillId="0" borderId="0" xfId="23" applyFont="1" applyAlignment="1">
      <alignment/>
    </xf>
    <xf numFmtId="0" fontId="13" fillId="0" borderId="0" xfId="23" applyFont="1" applyAlignment="1">
      <alignment/>
    </xf>
    <xf numFmtId="10" fontId="0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right"/>
    </xf>
    <xf numFmtId="167" fontId="8" fillId="0" borderId="1" xfId="25" applyNumberFormat="1" applyFont="1" applyBorder="1" applyAlignment="1">
      <alignment/>
    </xf>
    <xf numFmtId="170" fontId="8" fillId="0" borderId="1" xfId="2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0" fontId="3" fillId="0" borderId="1" xfId="25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/>
    </xf>
    <xf numFmtId="170" fontId="5" fillId="0" borderId="1" xfId="25" applyNumberFormat="1" applyFont="1" applyBorder="1" applyAlignment="1">
      <alignment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wrapText="1"/>
    </xf>
    <xf numFmtId="164" fontId="15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Continuous"/>
    </xf>
    <xf numFmtId="164" fontId="15" fillId="0" borderId="0" xfId="0" applyNumberFormat="1" applyFont="1" applyAlignment="1">
      <alignment horizontal="centerContinuous"/>
    </xf>
    <xf numFmtId="164" fontId="15" fillId="0" borderId="0" xfId="0" applyNumberFormat="1" applyFont="1" applyAlignment="1">
      <alignment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wrapText="1"/>
    </xf>
    <xf numFmtId="0" fontId="4" fillId="0" borderId="1" xfId="0" applyFont="1" applyBorder="1" applyAlignment="1">
      <alignment/>
    </xf>
    <xf numFmtId="167" fontId="4" fillId="0" borderId="1" xfId="25" applyNumberFormat="1" applyFont="1" applyBorder="1" applyAlignment="1">
      <alignment/>
    </xf>
    <xf numFmtId="166" fontId="8" fillId="0" borderId="1" xfId="0" applyNumberFormat="1" applyFont="1" applyBorder="1" applyAlignment="1">
      <alignment horizontal="right" wrapText="1"/>
    </xf>
    <xf numFmtId="171" fontId="8" fillId="0" borderId="1" xfId="25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167" fontId="4" fillId="0" borderId="1" xfId="25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167" fontId="0" fillId="0" borderId="1" xfId="25" applyNumberFormat="1" applyFont="1" applyBorder="1" applyAlignment="1">
      <alignment/>
    </xf>
    <xf numFmtId="166" fontId="3" fillId="0" borderId="1" xfId="0" applyNumberFormat="1" applyFont="1" applyBorder="1" applyAlignment="1">
      <alignment horizontal="right" wrapText="1"/>
    </xf>
    <xf numFmtId="171" fontId="3" fillId="0" borderId="1" xfId="25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71" fontId="3" fillId="0" borderId="1" xfId="0" applyNumberFormat="1" applyFont="1" applyBorder="1" applyAlignment="1">
      <alignment horizontal="center" wrapText="1"/>
    </xf>
    <xf numFmtId="171" fontId="3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center"/>
    </xf>
    <xf numFmtId="3" fontId="15" fillId="0" borderId="1" xfId="0" applyNumberFormat="1" applyFont="1" applyFill="1" applyBorder="1" applyAlignment="1">
      <alignment/>
    </xf>
    <xf numFmtId="10" fontId="15" fillId="0" borderId="1" xfId="0" applyNumberFormat="1" applyFont="1" applyBorder="1" applyAlignment="1">
      <alignment horizontal="center" wrapText="1"/>
    </xf>
    <xf numFmtId="10" fontId="1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66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right" wrapText="1"/>
    </xf>
    <xf numFmtId="171" fontId="6" fillId="0" borderId="1" xfId="0" applyNumberFormat="1" applyFont="1" applyBorder="1" applyAlignment="1">
      <alignment horizontal="center" wrapText="1"/>
    </xf>
    <xf numFmtId="171" fontId="6" fillId="0" borderId="1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3" fontId="15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0" fontId="8" fillId="0" borderId="1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wrapText="1"/>
    </xf>
    <xf numFmtId="167" fontId="0" fillId="0" borderId="1" xfId="25" applyNumberFormat="1" applyFont="1" applyBorder="1" applyAlignment="1">
      <alignment horizontal="center"/>
    </xf>
    <xf numFmtId="171" fontId="3" fillId="0" borderId="1" xfId="25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/>
    </xf>
    <xf numFmtId="166" fontId="2" fillId="0" borderId="1" xfId="0" applyNumberFormat="1" applyFont="1" applyBorder="1" applyAlignment="1">
      <alignment horizontal="center"/>
    </xf>
    <xf numFmtId="171" fontId="2" fillId="0" borderId="1" xfId="0" applyNumberFormat="1" applyFont="1" applyBorder="1" applyAlignment="1">
      <alignment horizontal="center" wrapText="1"/>
    </xf>
    <xf numFmtId="17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center" wrapText="1"/>
    </xf>
    <xf numFmtId="171" fontId="3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centerContinuous"/>
    </xf>
    <xf numFmtId="164" fontId="15" fillId="0" borderId="1" xfId="0" applyNumberFormat="1" applyFont="1" applyBorder="1" applyAlignment="1">
      <alignment horizontal="centerContinuous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/>
    </xf>
    <xf numFmtId="168" fontId="4" fillId="0" borderId="1" xfId="25" applyNumberFormat="1" applyFont="1" applyBorder="1" applyAlignment="1">
      <alignment/>
    </xf>
    <xf numFmtId="0" fontId="17" fillId="0" borderId="0" xfId="0" applyFont="1" applyAlignment="1">
      <alignment/>
    </xf>
    <xf numFmtId="172" fontId="4" fillId="0" borderId="1" xfId="25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72" fontId="0" fillId="0" borderId="1" xfId="25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8" fontId="0" fillId="0" borderId="1" xfId="25" applyNumberFormat="1" applyFont="1" applyBorder="1" applyAlignment="1">
      <alignment/>
    </xf>
    <xf numFmtId="0" fontId="18" fillId="0" borderId="0" xfId="0" applyFont="1" applyAlignment="1">
      <alignment/>
    </xf>
    <xf numFmtId="164" fontId="0" fillId="0" borderId="2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2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/>
    </xf>
    <xf numFmtId="164" fontId="15" fillId="0" borderId="1" xfId="0" applyNumberFormat="1" applyFont="1" applyBorder="1" applyAlignment="1">
      <alignment/>
    </xf>
    <xf numFmtId="164" fontId="15" fillId="0" borderId="1" xfId="0" applyNumberFormat="1" applyFont="1" applyFill="1" applyBorder="1" applyAlignment="1">
      <alignment/>
    </xf>
    <xf numFmtId="166" fontId="15" fillId="0" borderId="1" xfId="0" applyNumberFormat="1" applyFont="1" applyBorder="1" applyAlignment="1">
      <alignment/>
    </xf>
    <xf numFmtId="168" fontId="15" fillId="0" borderId="1" xfId="25" applyNumberFormat="1" applyFont="1" applyBorder="1" applyAlignment="1">
      <alignment/>
    </xf>
    <xf numFmtId="164" fontId="15" fillId="0" borderId="2" xfId="0" applyNumberFormat="1" applyFont="1" applyBorder="1" applyAlignment="1">
      <alignment/>
    </xf>
    <xf numFmtId="172" fontId="15" fillId="0" borderId="1" xfId="25" applyNumberFormat="1" applyFont="1" applyBorder="1" applyAlignment="1">
      <alignment/>
    </xf>
    <xf numFmtId="0" fontId="19" fillId="0" borderId="0" xfId="0" applyFont="1" applyAlignment="1">
      <alignment/>
    </xf>
    <xf numFmtId="166" fontId="15" fillId="0" borderId="1" xfId="0" applyNumberFormat="1" applyFont="1" applyBorder="1" applyAlignment="1">
      <alignment/>
    </xf>
    <xf numFmtId="0" fontId="15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right" wrapText="1"/>
    </xf>
    <xf numFmtId="168" fontId="20" fillId="0" borderId="1" xfId="25" applyNumberFormat="1" applyFont="1" applyBorder="1" applyAlignment="1">
      <alignment/>
    </xf>
    <xf numFmtId="0" fontId="20" fillId="0" borderId="2" xfId="0" applyFont="1" applyBorder="1" applyAlignment="1">
      <alignment horizontal="right" wrapText="1"/>
    </xf>
    <xf numFmtId="166" fontId="20" fillId="0" borderId="1" xfId="0" applyNumberFormat="1" applyFont="1" applyBorder="1" applyAlignment="1">
      <alignment horizontal="right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right" wrapText="1"/>
    </xf>
    <xf numFmtId="168" fontId="16" fillId="0" borderId="1" xfId="25" applyNumberFormat="1" applyFont="1" applyBorder="1" applyAlignment="1">
      <alignment/>
    </xf>
    <xf numFmtId="0" fontId="16" fillId="0" borderId="2" xfId="0" applyFont="1" applyBorder="1" applyAlignment="1">
      <alignment/>
    </xf>
    <xf numFmtId="166" fontId="16" fillId="0" borderId="1" xfId="0" applyNumberFormat="1" applyFont="1" applyBorder="1" applyAlignment="1">
      <alignment horizontal="right" wrapText="1"/>
    </xf>
    <xf numFmtId="166" fontId="16" fillId="0" borderId="1" xfId="0" applyNumberFormat="1" applyFont="1" applyBorder="1" applyAlignment="1">
      <alignment horizontal="right" vertical="center" wrapText="1"/>
    </xf>
    <xf numFmtId="164" fontId="20" fillId="0" borderId="1" xfId="0" applyNumberFormat="1" applyFont="1" applyBorder="1" applyAlignment="1">
      <alignment/>
    </xf>
    <xf numFmtId="164" fontId="20" fillId="0" borderId="2" xfId="0" applyNumberFormat="1" applyFont="1" applyBorder="1" applyAlignment="1">
      <alignment/>
    </xf>
    <xf numFmtId="166" fontId="20" fillId="0" borderId="1" xfId="0" applyNumberFormat="1" applyFont="1" applyBorder="1" applyAlignment="1">
      <alignment/>
    </xf>
    <xf numFmtId="0" fontId="20" fillId="0" borderId="1" xfId="0" applyFont="1" applyBorder="1" applyAlignment="1">
      <alignment horizontal="left"/>
    </xf>
    <xf numFmtId="164" fontId="20" fillId="0" borderId="1" xfId="0" applyNumberFormat="1" applyFont="1" applyBorder="1" applyAlignment="1">
      <alignment/>
    </xf>
    <xf numFmtId="164" fontId="20" fillId="0" borderId="2" xfId="0" applyNumberFormat="1" applyFont="1" applyBorder="1" applyAlignment="1">
      <alignment/>
    </xf>
    <xf numFmtId="166" fontId="20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164" fontId="16" fillId="0" borderId="1" xfId="0" applyNumberFormat="1" applyFont="1" applyBorder="1" applyAlignment="1">
      <alignment/>
    </xf>
    <xf numFmtId="164" fontId="16" fillId="0" borderId="2" xfId="0" applyNumberFormat="1" applyFont="1" applyBorder="1" applyAlignment="1">
      <alignment/>
    </xf>
    <xf numFmtId="164" fontId="16" fillId="0" borderId="1" xfId="0" applyNumberFormat="1" applyFont="1" applyBorder="1" applyAlignment="1">
      <alignment horizontal="center"/>
    </xf>
    <xf numFmtId="10" fontId="16" fillId="0" borderId="1" xfId="0" applyNumberFormat="1" applyFont="1" applyBorder="1" applyAlignment="1">
      <alignment horizontal="center" wrapText="1"/>
    </xf>
    <xf numFmtId="166" fontId="16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/>
    </xf>
    <xf numFmtId="166" fontId="16" fillId="0" borderId="1" xfId="0" applyNumberFormat="1" applyFont="1" applyBorder="1" applyAlignment="1">
      <alignment/>
    </xf>
    <xf numFmtId="0" fontId="16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wrapText="1"/>
    </xf>
    <xf numFmtId="164" fontId="21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/>
    </xf>
    <xf numFmtId="10" fontId="21" fillId="0" borderId="1" xfId="0" applyNumberFormat="1" applyFont="1" applyBorder="1" applyAlignment="1">
      <alignment horizontal="center" wrapText="1"/>
    </xf>
    <xf numFmtId="166" fontId="21" fillId="0" borderId="1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66" fontId="21" fillId="0" borderId="1" xfId="0" applyNumberFormat="1" applyFont="1" applyBorder="1" applyAlignment="1">
      <alignment horizontal="right" wrapText="1"/>
    </xf>
    <xf numFmtId="166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left" wrapText="1"/>
    </xf>
    <xf numFmtId="164" fontId="20" fillId="0" borderId="1" xfId="0" applyNumberFormat="1" applyFont="1" applyBorder="1" applyAlignment="1">
      <alignment horizontal="right"/>
    </xf>
    <xf numFmtId="164" fontId="20" fillId="0" borderId="2" xfId="0" applyNumberFormat="1" applyFont="1" applyBorder="1" applyAlignment="1">
      <alignment horizontal="right"/>
    </xf>
    <xf numFmtId="166" fontId="20" fillId="0" borderId="1" xfId="0" applyNumberFormat="1" applyFont="1" applyBorder="1" applyAlignment="1">
      <alignment horizontal="right"/>
    </xf>
    <xf numFmtId="164" fontId="16" fillId="0" borderId="1" xfId="0" applyNumberFormat="1" applyFont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wrapText="1"/>
    </xf>
    <xf numFmtId="164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/>
    </xf>
    <xf numFmtId="10" fontId="16" fillId="0" borderId="0" xfId="0" applyNumberFormat="1" applyFont="1" applyBorder="1" applyAlignment="1">
      <alignment horizontal="center" wrapText="1"/>
    </xf>
    <xf numFmtId="164" fontId="2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/>
    </xf>
    <xf numFmtId="164" fontId="21" fillId="0" borderId="0" xfId="0" applyNumberFormat="1" applyFont="1" applyAlignment="1">
      <alignment horizontal="center"/>
    </xf>
    <xf numFmtId="10" fontId="20" fillId="0" borderId="0" xfId="0" applyNumberFormat="1" applyFont="1" applyBorder="1" applyAlignment="1">
      <alignment horizontal="center" wrapText="1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centerContinuous"/>
    </xf>
    <xf numFmtId="10" fontId="16" fillId="0" borderId="0" xfId="0" applyNumberFormat="1" applyFont="1" applyBorder="1" applyAlignment="1">
      <alignment horizontal="centerContinuous"/>
    </xf>
    <xf numFmtId="164" fontId="21" fillId="0" borderId="0" xfId="0" applyNumberFormat="1" applyFont="1" applyAlignment="1">
      <alignment horizontal="centerContinuous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173" fontId="4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167" fontId="0" fillId="0" borderId="1" xfId="25" applyNumberFormat="1" applyFont="1" applyBorder="1" applyAlignment="1">
      <alignment horizontal="right"/>
    </xf>
    <xf numFmtId="0" fontId="0" fillId="0" borderId="2" xfId="0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 wrapText="1"/>
    </xf>
    <xf numFmtId="164" fontId="0" fillId="0" borderId="2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 wrapText="1"/>
    </xf>
    <xf numFmtId="0" fontId="15" fillId="0" borderId="0" xfId="0" applyFont="1" applyAlignment="1">
      <alignment/>
    </xf>
    <xf numFmtId="0" fontId="15" fillId="0" borderId="1" xfId="0" applyFont="1" applyBorder="1" applyAlignment="1">
      <alignment horizontal="left" wrapText="1"/>
    </xf>
    <xf numFmtId="9" fontId="4" fillId="0" borderId="1" xfId="25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164" fontId="0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10" fontId="4" fillId="0" borderId="0" xfId="25" applyNumberFormat="1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9" fontId="0" fillId="0" borderId="1" xfId="25" applyNumberFormat="1" applyFont="1" applyBorder="1" applyAlignment="1">
      <alignment/>
    </xf>
    <xf numFmtId="0" fontId="0" fillId="0" borderId="0" xfId="0" applyFont="1" applyFill="1" applyAlignment="1">
      <alignment/>
    </xf>
    <xf numFmtId="174" fontId="0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10" fontId="4" fillId="0" borderId="1" xfId="25" applyNumberFormat="1" applyFont="1" applyBorder="1" applyAlignment="1">
      <alignment/>
    </xf>
    <xf numFmtId="166" fontId="4" fillId="0" borderId="1" xfId="0" applyNumberFormat="1" applyFont="1" applyBorder="1" applyAlignment="1">
      <alignment horizontal="right"/>
    </xf>
    <xf numFmtId="10" fontId="0" fillId="0" borderId="1" xfId="25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right"/>
    </xf>
    <xf numFmtId="167" fontId="4" fillId="0" borderId="4" xfId="25" applyNumberFormat="1" applyFont="1" applyBorder="1" applyAlignment="1">
      <alignment/>
    </xf>
    <xf numFmtId="175" fontId="4" fillId="0" borderId="1" xfId="25" applyNumberFormat="1" applyFont="1" applyBorder="1" applyAlignment="1">
      <alignment/>
    </xf>
    <xf numFmtId="170" fontId="4" fillId="0" borderId="1" xfId="25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170" fontId="4" fillId="0" borderId="4" xfId="25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167" fontId="5" fillId="0" borderId="4" xfId="25" applyNumberFormat="1" applyFont="1" applyBorder="1" applyAlignment="1">
      <alignment/>
    </xf>
    <xf numFmtId="175" fontId="8" fillId="0" borderId="1" xfId="25" applyNumberFormat="1" applyFont="1" applyBorder="1" applyAlignment="1">
      <alignment/>
    </xf>
    <xf numFmtId="167" fontId="8" fillId="0" borderId="4" xfId="25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/>
    </xf>
    <xf numFmtId="175" fontId="5" fillId="0" borderId="1" xfId="25" applyNumberFormat="1" applyFont="1" applyBorder="1" applyAlignment="1">
      <alignment/>
    </xf>
    <xf numFmtId="175" fontId="3" fillId="0" borderId="1" xfId="25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4" fillId="0" borderId="3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4" xfId="0" applyNumberFormat="1" applyFont="1" applyBorder="1" applyAlignment="1">
      <alignment horizontal="center"/>
    </xf>
    <xf numFmtId="167" fontId="4" fillId="0" borderId="4" xfId="25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0" fontId="2" fillId="0" borderId="0" xfId="0" applyNumberFormat="1" applyFont="1" applyBorder="1" applyAlignment="1">
      <alignment horizontal="centerContinuous"/>
    </xf>
    <xf numFmtId="164" fontId="10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0" fontId="3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24" applyNumberFormat="1" applyFont="1" applyAlignment="1">
      <alignment horizontal="centerContinuous" vertical="top" wrapText="1"/>
      <protection/>
    </xf>
    <xf numFmtId="0" fontId="0" fillId="0" borderId="0" xfId="24" applyFont="1" applyAlignment="1">
      <alignment horizontal="centerContinuous"/>
      <protection/>
    </xf>
    <xf numFmtId="0" fontId="23" fillId="0" borderId="0" xfId="24" applyFont="1">
      <alignment/>
      <protection/>
    </xf>
    <xf numFmtId="0" fontId="0" fillId="0" borderId="0" xfId="24" applyFont="1" applyAlignment="1">
      <alignment horizontal="left"/>
      <protection/>
    </xf>
    <xf numFmtId="49" fontId="1" fillId="0" borderId="0" xfId="24" applyNumberFormat="1" applyFont="1" applyAlignment="1">
      <alignment horizontal="centerContinuous" vertical="top" wrapText="1"/>
      <protection/>
    </xf>
    <xf numFmtId="49" fontId="14" fillId="0" borderId="0" xfId="24" applyNumberFormat="1" applyFont="1" applyAlignment="1">
      <alignment horizontal="centerContinuous" vertical="top" wrapText="1"/>
      <protection/>
    </xf>
    <xf numFmtId="0" fontId="14" fillId="0" borderId="0" xfId="24" applyFont="1" applyAlignment="1">
      <alignment horizontal="centerContinuous"/>
      <protection/>
    </xf>
    <xf numFmtId="0" fontId="14" fillId="0" borderId="0" xfId="24" applyFont="1">
      <alignment/>
      <protection/>
    </xf>
    <xf numFmtId="49" fontId="23" fillId="0" borderId="0" xfId="24" applyNumberFormat="1" applyFont="1" applyAlignment="1">
      <alignment vertical="top" wrapText="1"/>
      <protection/>
    </xf>
    <xf numFmtId="0" fontId="23" fillId="0" borderId="0" xfId="24" applyFont="1" applyAlignment="1">
      <alignment horizontal="centerContinuous"/>
      <protection/>
    </xf>
    <xf numFmtId="0" fontId="3" fillId="0" borderId="0" xfId="24" applyFont="1">
      <alignment/>
      <protection/>
    </xf>
    <xf numFmtId="49" fontId="3" fillId="0" borderId="5" xfId="24" applyNumberFormat="1" applyFont="1" applyBorder="1" applyAlignment="1">
      <alignment vertical="top" wrapText="1"/>
      <protection/>
    </xf>
    <xf numFmtId="0" fontId="3" fillId="0" borderId="5" xfId="24" applyFont="1" applyBorder="1" applyAlignment="1">
      <alignment horizontal="centerContinuous"/>
      <protection/>
    </xf>
    <xf numFmtId="49" fontId="3" fillId="0" borderId="6" xfId="24" applyNumberFormat="1" applyFont="1" applyFill="1" applyBorder="1" applyAlignment="1">
      <alignment horizontal="centerContinuous" vertical="center"/>
      <protection/>
    </xf>
    <xf numFmtId="49" fontId="3" fillId="0" borderId="4" xfId="24" applyNumberFormat="1" applyFont="1" applyFill="1" applyBorder="1" applyAlignment="1">
      <alignment horizontal="center" vertical="center" wrapText="1"/>
      <protection/>
    </xf>
    <xf numFmtId="49" fontId="3" fillId="0" borderId="7" xfId="24" applyNumberFormat="1" applyFont="1" applyFill="1" applyBorder="1" applyAlignment="1">
      <alignment horizontal="center" vertical="center" wrapText="1"/>
      <protection/>
    </xf>
    <xf numFmtId="0" fontId="0" fillId="0" borderId="0" xfId="24" applyFont="1">
      <alignment/>
      <protection/>
    </xf>
    <xf numFmtId="49" fontId="3" fillId="0" borderId="8" xfId="24" applyNumberFormat="1" applyFont="1" applyFill="1" applyBorder="1" applyAlignment="1">
      <alignment horizontal="center" vertical="top" wrapText="1"/>
      <protection/>
    </xf>
    <xf numFmtId="49" fontId="3" fillId="0" borderId="1" xfId="24" applyNumberFormat="1" applyFont="1" applyFill="1" applyBorder="1" applyAlignment="1">
      <alignment horizontal="center" vertical="top" wrapText="1"/>
      <protection/>
    </xf>
    <xf numFmtId="49" fontId="3" fillId="0" borderId="9" xfId="24" applyNumberFormat="1" applyFont="1" applyFill="1" applyBorder="1" applyAlignment="1">
      <alignment horizontal="center" vertical="top" wrapText="1"/>
      <protection/>
    </xf>
    <xf numFmtId="3" fontId="4" fillId="0" borderId="8" xfId="24" applyNumberFormat="1" applyFont="1" applyBorder="1" applyAlignment="1">
      <alignment horizontal="center"/>
      <protection/>
    </xf>
    <xf numFmtId="3" fontId="2" fillId="0" borderId="1" xfId="24" applyNumberFormat="1" applyFont="1" applyBorder="1">
      <alignment/>
      <protection/>
    </xf>
    <xf numFmtId="4" fontId="2" fillId="0" borderId="1" xfId="24" applyNumberFormat="1" applyFont="1" applyBorder="1">
      <alignment/>
      <protection/>
    </xf>
    <xf numFmtId="3" fontId="2" fillId="0" borderId="9" xfId="24" applyNumberFormat="1" applyFont="1" applyBorder="1">
      <alignment/>
      <protection/>
    </xf>
    <xf numFmtId="49" fontId="4" fillId="0" borderId="8" xfId="24" applyNumberFormat="1" applyFont="1" applyFill="1" applyBorder="1" applyAlignment="1">
      <alignment horizontal="center" vertical="top" wrapText="1"/>
      <protection/>
    </xf>
    <xf numFmtId="3" fontId="4" fillId="0" borderId="8" xfId="24" applyNumberFormat="1" applyFont="1" applyBorder="1" applyAlignment="1">
      <alignment horizontal="left"/>
      <protection/>
    </xf>
    <xf numFmtId="3" fontId="5" fillId="0" borderId="8" xfId="24" applyNumberFormat="1" applyFont="1" applyBorder="1" applyAlignment="1">
      <alignment horizontal="left"/>
      <protection/>
    </xf>
    <xf numFmtId="3" fontId="3" fillId="0" borderId="8" xfId="24" applyNumberFormat="1" applyFont="1" applyBorder="1">
      <alignment/>
      <protection/>
    </xf>
    <xf numFmtId="49" fontId="3" fillId="0" borderId="8" xfId="24" applyNumberFormat="1" applyFont="1" applyFill="1" applyBorder="1" applyAlignment="1">
      <alignment vertical="top" wrapText="1"/>
      <protection/>
    </xf>
    <xf numFmtId="49" fontId="4" fillId="0" borderId="8" xfId="24" applyNumberFormat="1" applyFont="1" applyFill="1" applyBorder="1" applyAlignment="1">
      <alignment vertical="top" wrapText="1"/>
      <protection/>
    </xf>
    <xf numFmtId="3" fontId="5" fillId="0" borderId="8" xfId="24" applyNumberFormat="1" applyFont="1" applyBorder="1" applyAlignment="1">
      <alignment horizontal="center"/>
      <protection/>
    </xf>
    <xf numFmtId="3" fontId="3" fillId="0" borderId="8" xfId="24" applyNumberFormat="1" applyFont="1" applyBorder="1" applyAlignment="1">
      <alignment wrapText="1"/>
      <protection/>
    </xf>
    <xf numFmtId="49" fontId="5" fillId="0" borderId="8" xfId="24" applyNumberFormat="1" applyFont="1" applyFill="1" applyBorder="1" applyAlignment="1">
      <alignment horizontal="center" vertical="top" wrapText="1"/>
      <protection/>
    </xf>
    <xf numFmtId="3" fontId="5" fillId="0" borderId="10" xfId="24" applyNumberFormat="1" applyFont="1" applyBorder="1" applyAlignment="1">
      <alignment horizontal="center"/>
      <protection/>
    </xf>
    <xf numFmtId="3" fontId="2" fillId="0" borderId="11" xfId="24" applyNumberFormat="1" applyFont="1" applyBorder="1">
      <alignment/>
      <protection/>
    </xf>
    <xf numFmtId="4" fontId="2" fillId="0" borderId="11" xfId="24" applyNumberFormat="1" applyFont="1" applyBorder="1">
      <alignment/>
      <protection/>
    </xf>
    <xf numFmtId="3" fontId="2" fillId="0" borderId="12" xfId="24" applyNumberFormat="1" applyFont="1" applyBorder="1">
      <alignment/>
      <protection/>
    </xf>
    <xf numFmtId="0" fontId="23" fillId="0" borderId="0" xfId="24" applyFont="1" applyBorder="1" applyAlignment="1">
      <alignment horizontal="left"/>
      <protection/>
    </xf>
    <xf numFmtId="0" fontId="2" fillId="0" borderId="0" xfId="24" applyFont="1" applyAlignment="1">
      <alignment horizontal="center"/>
      <protection/>
    </xf>
    <xf numFmtId="0" fontId="23" fillId="0" borderId="0" xfId="24" applyFont="1" applyAlignment="1">
      <alignment horizontal="left"/>
      <protection/>
    </xf>
    <xf numFmtId="0" fontId="23" fillId="0" borderId="0" xfId="24" applyFont="1" applyBorder="1" applyAlignment="1">
      <alignment horizontal="center"/>
      <protection/>
    </xf>
    <xf numFmtId="49" fontId="0" fillId="0" borderId="0" xfId="24" applyNumberFormat="1" applyFont="1" applyAlignment="1">
      <alignment vertical="top" wrapText="1"/>
      <protection/>
    </xf>
    <xf numFmtId="49" fontId="2" fillId="0" borderId="0" xfId="24" applyNumberFormat="1" applyFont="1" applyAlignment="1">
      <alignment horizontal="left" vertical="top" wrapText="1"/>
      <protection/>
    </xf>
    <xf numFmtId="49" fontId="2" fillId="0" borderId="0" xfId="24" applyNumberFormat="1" applyFont="1" applyAlignment="1">
      <alignment vertical="top" wrapText="1"/>
      <protection/>
    </xf>
    <xf numFmtId="49" fontId="2" fillId="0" borderId="5" xfId="24" applyNumberFormat="1" applyFont="1" applyBorder="1" applyAlignment="1">
      <alignment horizontal="center"/>
      <protection/>
    </xf>
    <xf numFmtId="49" fontId="2" fillId="0" borderId="0" xfId="24" applyNumberFormat="1" applyFont="1" applyBorder="1" applyAlignment="1">
      <alignment horizontal="center"/>
      <protection/>
    </xf>
    <xf numFmtId="0" fontId="2" fillId="0" borderId="0" xfId="24" applyFont="1">
      <alignment/>
      <protection/>
    </xf>
    <xf numFmtId="49" fontId="23" fillId="0" borderId="0" xfId="24" applyNumberFormat="1" applyFont="1" applyAlignment="1">
      <alignment horizontal="left" vertical="top" wrapText="1"/>
      <protection/>
    </xf>
    <xf numFmtId="0" fontId="3" fillId="0" borderId="0" xfId="24" applyFont="1" applyAlignment="1">
      <alignment horizontal="left"/>
      <protection/>
    </xf>
    <xf numFmtId="0" fontId="23" fillId="0" borderId="0" xfId="24" applyFont="1" applyAlignment="1">
      <alignment/>
      <protection/>
    </xf>
    <xf numFmtId="49" fontId="3" fillId="0" borderId="0" xfId="24" applyNumberFormat="1" applyFont="1" applyAlignment="1">
      <alignment vertical="top" wrapText="1"/>
      <protection/>
    </xf>
    <xf numFmtId="49" fontId="3" fillId="0" borderId="0" xfId="24" applyNumberFormat="1" applyFont="1" applyAlignment="1">
      <alignment horizontal="centerContinuous" vertical="top" wrapText="1"/>
      <protection/>
    </xf>
    <xf numFmtId="0" fontId="3" fillId="0" borderId="0" xfId="24" applyFont="1" applyAlignment="1">
      <alignment horizontal="centerContinuous"/>
      <protection/>
    </xf>
    <xf numFmtId="49" fontId="23" fillId="0" borderId="0" xfId="24" applyNumberFormat="1" applyFont="1" applyAlignment="1">
      <alignment horizontal="centerContinuous" vertical="top" wrapText="1"/>
      <protection/>
    </xf>
    <xf numFmtId="49" fontId="3" fillId="0" borderId="0" xfId="24" applyNumberFormat="1" applyFont="1" applyAlignment="1">
      <alignment horizontal="center" vertical="top" wrapText="1"/>
      <protection/>
    </xf>
    <xf numFmtId="0" fontId="3" fillId="0" borderId="0" xfId="24" applyFont="1" applyAlignment="1">
      <alignment/>
      <protection/>
    </xf>
    <xf numFmtId="49" fontId="3" fillId="0" borderId="6" xfId="24" applyNumberFormat="1" applyFont="1" applyFill="1" applyBorder="1" applyAlignment="1">
      <alignment horizontal="center" vertical="center" wrapText="1"/>
      <protection/>
    </xf>
    <xf numFmtId="49" fontId="3" fillId="0" borderId="13" xfId="24" applyNumberFormat="1" applyFont="1" applyFill="1" applyBorder="1" applyAlignment="1">
      <alignment horizontal="center" vertical="center" wrapText="1"/>
      <protection/>
    </xf>
    <xf numFmtId="49" fontId="3" fillId="0" borderId="14" xfId="24" applyNumberFormat="1" applyFont="1" applyFill="1" applyBorder="1" applyAlignment="1">
      <alignment horizontal="center" vertical="center" wrapText="1"/>
      <protection/>
    </xf>
    <xf numFmtId="49" fontId="4" fillId="0" borderId="8" xfId="24" applyNumberFormat="1" applyFont="1" applyFill="1" applyBorder="1" applyAlignment="1">
      <alignment horizontal="left" vertical="top" wrapText="1"/>
      <protection/>
    </xf>
    <xf numFmtId="49" fontId="5" fillId="0" borderId="8" xfId="24" applyNumberFormat="1" applyFont="1" applyFill="1" applyBorder="1" applyAlignment="1">
      <alignment horizontal="center" vertical="top" wrapText="1"/>
      <protection/>
    </xf>
    <xf numFmtId="49" fontId="3" fillId="0" borderId="8" xfId="24" applyNumberFormat="1" applyFont="1" applyFill="1" applyBorder="1" applyAlignment="1">
      <alignment horizontal="left" vertical="top" wrapText="1"/>
      <protection/>
    </xf>
    <xf numFmtId="4" fontId="2" fillId="0" borderId="15" xfId="24" applyNumberFormat="1" applyFont="1" applyBorder="1">
      <alignment/>
      <protection/>
    </xf>
    <xf numFmtId="49" fontId="3" fillId="0" borderId="10" xfId="24" applyNumberFormat="1" applyFont="1" applyFill="1" applyBorder="1" applyAlignment="1">
      <alignment horizontal="left" vertical="top" wrapText="1"/>
      <protection/>
    </xf>
    <xf numFmtId="0" fontId="2" fillId="0" borderId="11" xfId="24" applyFont="1" applyBorder="1" applyAlignment="1">
      <alignment horizontal="left"/>
      <protection/>
    </xf>
    <xf numFmtId="4" fontId="2" fillId="0" borderId="12" xfId="24" applyNumberFormat="1" applyFont="1" applyBorder="1">
      <alignment/>
      <protection/>
    </xf>
    <xf numFmtId="0" fontId="2" fillId="0" borderId="0" xfId="24" applyFont="1" applyAlignment="1">
      <alignment horizontal="left"/>
      <protection/>
    </xf>
    <xf numFmtId="49" fontId="2" fillId="0" borderId="0" xfId="24" applyNumberFormat="1" applyFont="1" applyAlignment="1">
      <alignment horizontal="center" vertical="top" wrapText="1"/>
      <protection/>
    </xf>
    <xf numFmtId="49" fontId="2" fillId="0" borderId="0" xfId="24" applyNumberFormat="1" applyFont="1" applyFill="1" applyBorder="1" applyAlignment="1">
      <alignment vertical="top" wrapText="1"/>
      <protection/>
    </xf>
    <xf numFmtId="49" fontId="2" fillId="0" borderId="0" xfId="24" applyNumberFormat="1" applyFont="1" applyFill="1" applyBorder="1" applyAlignment="1">
      <alignment horizontal="center" vertical="top" wrapText="1"/>
      <protection/>
    </xf>
    <xf numFmtId="3" fontId="2" fillId="0" borderId="0" xfId="24" applyNumberFormat="1" applyFont="1" applyBorder="1">
      <alignment/>
      <protection/>
    </xf>
    <xf numFmtId="0" fontId="2" fillId="0" borderId="0" xfId="24" applyFont="1" applyAlignment="1">
      <alignment/>
      <protection/>
    </xf>
    <xf numFmtId="49" fontId="23" fillId="0" borderId="0" xfId="24" applyNumberFormat="1" applyFont="1" applyAlignment="1">
      <alignment horizontal="center" vertical="top" wrapText="1"/>
      <protection/>
    </xf>
    <xf numFmtId="49" fontId="0" fillId="0" borderId="0" xfId="24" applyNumberFormat="1" applyFont="1" applyAlignment="1">
      <alignment horizontal="right" vertical="top" wrapText="1"/>
      <protection/>
    </xf>
    <xf numFmtId="49" fontId="20" fillId="0" borderId="0" xfId="24" applyNumberFormat="1" applyFont="1" applyAlignment="1">
      <alignment horizontal="centerContinuous" vertical="top" wrapText="1"/>
      <protection/>
    </xf>
    <xf numFmtId="49" fontId="5" fillId="0" borderId="8" xfId="24" applyNumberFormat="1" applyFont="1" applyFill="1" applyBorder="1" applyAlignment="1">
      <alignment horizontal="left" vertical="top" wrapText="1"/>
      <protection/>
    </xf>
    <xf numFmtId="49" fontId="6" fillId="0" borderId="8" xfId="24" applyNumberFormat="1" applyFont="1" applyFill="1" applyBorder="1" applyAlignment="1">
      <alignment horizontal="left" vertical="top" wrapText="1"/>
      <protection/>
    </xf>
    <xf numFmtId="49" fontId="4" fillId="0" borderId="16" xfId="24" applyNumberFormat="1" applyFont="1" applyFill="1" applyBorder="1" applyAlignment="1">
      <alignment horizontal="left" vertical="top" wrapText="1"/>
      <protection/>
    </xf>
    <xf numFmtId="3" fontId="23" fillId="0" borderId="0" xfId="24" applyNumberFormat="1" applyFont="1" applyAlignment="1">
      <alignment horizontal="left"/>
      <protection/>
    </xf>
    <xf numFmtId="49" fontId="4" fillId="0" borderId="17" xfId="24" applyNumberFormat="1" applyFont="1" applyFill="1" applyBorder="1" applyAlignment="1">
      <alignment horizontal="left" vertical="top" wrapText="1"/>
      <protection/>
    </xf>
    <xf numFmtId="3" fontId="2" fillId="0" borderId="18" xfId="24" applyNumberFormat="1" applyFont="1" applyBorder="1">
      <alignment/>
      <protection/>
    </xf>
    <xf numFmtId="4" fontId="2" fillId="0" borderId="18" xfId="24" applyNumberFormat="1" applyFont="1" applyBorder="1">
      <alignment/>
      <protection/>
    </xf>
    <xf numFmtId="3" fontId="2" fillId="0" borderId="19" xfId="24" applyNumberFormat="1" applyFont="1" applyBorder="1">
      <alignment/>
      <protection/>
    </xf>
    <xf numFmtId="49" fontId="3" fillId="0" borderId="0" xfId="24" applyNumberFormat="1" applyFont="1" applyAlignment="1">
      <alignment horizontal="left" vertical="top" wrapText="1"/>
      <protection/>
    </xf>
    <xf numFmtId="0" fontId="3" fillId="0" borderId="8" xfId="24" applyFont="1" applyBorder="1" applyAlignment="1">
      <alignment horizontal="center"/>
      <protection/>
    </xf>
    <xf numFmtId="3" fontId="3" fillId="0" borderId="1" xfId="24" applyNumberFormat="1" applyFont="1" applyBorder="1" applyAlignment="1">
      <alignment horizontal="center"/>
      <protection/>
    </xf>
    <xf numFmtId="0" fontId="3" fillId="0" borderId="1" xfId="24" applyNumberFormat="1" applyFont="1" applyBorder="1" applyAlignment="1">
      <alignment horizontal="center"/>
      <protection/>
    </xf>
    <xf numFmtId="0" fontId="3" fillId="0" borderId="9" xfId="24" applyNumberFormat="1" applyFont="1" applyBorder="1" applyAlignment="1">
      <alignment horizontal="center"/>
      <protection/>
    </xf>
    <xf numFmtId="0" fontId="4" fillId="0" borderId="8" xfId="24" applyFont="1" applyBorder="1" applyAlignment="1">
      <alignment horizontal="left" vertical="top" wrapText="1"/>
      <protection/>
    </xf>
    <xf numFmtId="2" fontId="2" fillId="0" borderId="1" xfId="24" applyNumberFormat="1" applyFont="1" applyBorder="1">
      <alignment/>
      <protection/>
    </xf>
    <xf numFmtId="0" fontId="3" fillId="0" borderId="8" xfId="24" applyFont="1" applyBorder="1" applyAlignment="1">
      <alignment vertical="top" wrapText="1"/>
      <protection/>
    </xf>
    <xf numFmtId="0" fontId="4" fillId="0" borderId="8" xfId="24" applyFont="1" applyBorder="1" applyAlignment="1">
      <alignment vertical="top" wrapText="1"/>
      <protection/>
    </xf>
    <xf numFmtId="0" fontId="4" fillId="0" borderId="10" xfId="24" applyFont="1" applyBorder="1" applyAlignment="1">
      <alignment vertical="top" wrapText="1"/>
      <protection/>
    </xf>
    <xf numFmtId="2" fontId="2" fillId="0" borderId="11" xfId="24" applyNumberFormat="1" applyFont="1" applyBorder="1">
      <alignment/>
      <protection/>
    </xf>
    <xf numFmtId="0" fontId="4" fillId="0" borderId="0" xfId="24" applyFont="1" applyBorder="1" applyAlignment="1">
      <alignment vertical="top" wrapText="1"/>
      <protection/>
    </xf>
    <xf numFmtId="2" fontId="2" fillId="0" borderId="0" xfId="24" applyNumberFormat="1" applyFont="1" applyBorder="1">
      <alignment/>
      <protection/>
    </xf>
    <xf numFmtId="0" fontId="23" fillId="0" borderId="0" xfId="24" applyFont="1" applyAlignment="1">
      <alignment horizontal="center"/>
      <protection/>
    </xf>
    <xf numFmtId="49" fontId="2" fillId="0" borderId="0" xfId="24" applyNumberFormat="1" applyFont="1" applyBorder="1">
      <alignment/>
      <protection/>
    </xf>
    <xf numFmtId="0" fontId="0" fillId="0" borderId="0" xfId="24" applyFont="1" applyAlignment="1">
      <alignment horizontal="right"/>
      <protection/>
    </xf>
    <xf numFmtId="0" fontId="3" fillId="0" borderId="5" xfId="24" applyFont="1" applyBorder="1">
      <alignment/>
      <protection/>
    </xf>
    <xf numFmtId="49" fontId="3" fillId="0" borderId="20" xfId="24" applyNumberFormat="1" applyFont="1" applyFill="1" applyBorder="1" applyAlignment="1">
      <alignment horizontal="left" vertical="top" wrapText="1"/>
      <protection/>
    </xf>
    <xf numFmtId="49" fontId="4" fillId="0" borderId="10" xfId="24" applyNumberFormat="1" applyFont="1" applyFill="1" applyBorder="1" applyAlignment="1">
      <alignment horizontal="left" vertical="top" wrapText="1"/>
      <protection/>
    </xf>
    <xf numFmtId="2" fontId="2" fillId="0" borderId="18" xfId="24" applyNumberFormat="1" applyFont="1" applyBorder="1">
      <alignment/>
      <protection/>
    </xf>
    <xf numFmtId="4" fontId="2" fillId="0" borderId="0" xfId="24" applyNumberFormat="1" applyFont="1" applyBorder="1">
      <alignment/>
      <protection/>
    </xf>
    <xf numFmtId="0" fontId="23" fillId="0" borderId="5" xfId="24" applyFont="1" applyBorder="1">
      <alignment/>
      <protection/>
    </xf>
    <xf numFmtId="0" fontId="2" fillId="0" borderId="0" xfId="24" applyFont="1" applyBorder="1" applyAlignment="1">
      <alignment/>
      <protection/>
    </xf>
    <xf numFmtId="49" fontId="2" fillId="0" borderId="0" xfId="24" applyNumberFormat="1" applyFont="1">
      <alignment/>
      <protection/>
    </xf>
    <xf numFmtId="0" fontId="2" fillId="0" borderId="5" xfId="24" applyFont="1" applyBorder="1" applyAlignment="1">
      <alignment/>
      <protection/>
    </xf>
    <xf numFmtId="0" fontId="0" fillId="0" borderId="0" xfId="24" applyFont="1" applyAlignment="1">
      <alignment/>
      <protection/>
    </xf>
    <xf numFmtId="49" fontId="0" fillId="0" borderId="0" xfId="24" applyNumberFormat="1" applyFont="1" applyAlignment="1">
      <alignment horizontal="center" vertical="top" wrapText="1"/>
      <protection/>
    </xf>
    <xf numFmtId="0" fontId="0" fillId="0" borderId="0" xfId="24" applyFont="1" applyAlignment="1">
      <alignment wrapText="1"/>
      <protection/>
    </xf>
    <xf numFmtId="0" fontId="23" fillId="0" borderId="0" xfId="24" applyFont="1" applyAlignment="1">
      <alignment wrapText="1"/>
      <protection/>
    </xf>
    <xf numFmtId="0" fontId="2" fillId="0" borderId="0" xfId="24" applyFont="1" applyAlignment="1">
      <alignment horizontal="centerContinuous"/>
      <protection/>
    </xf>
    <xf numFmtId="0" fontId="1" fillId="0" borderId="0" xfId="24" applyFont="1" applyAlignment="1">
      <alignment horizontal="centerContinuous" wrapText="1"/>
      <protection/>
    </xf>
    <xf numFmtId="0" fontId="1" fillId="0" borderId="0" xfId="24" applyFont="1" applyAlignment="1">
      <alignment horizontal="centerContinuous"/>
      <protection/>
    </xf>
    <xf numFmtId="0" fontId="24" fillId="0" borderId="0" xfId="24" applyFont="1" applyAlignment="1">
      <alignment horizontal="centerContinuous"/>
      <protection/>
    </xf>
    <xf numFmtId="0" fontId="1" fillId="0" borderId="0" xfId="24" applyFont="1">
      <alignment/>
      <protection/>
    </xf>
    <xf numFmtId="0" fontId="5" fillId="0" borderId="0" xfId="24" applyFont="1" applyAlignment="1">
      <alignment horizontal="centerContinuous" wrapText="1"/>
      <protection/>
    </xf>
    <xf numFmtId="0" fontId="0" fillId="0" borderId="21" xfId="24" applyFont="1" applyBorder="1" applyAlignment="1">
      <alignment wrapText="1"/>
      <protection/>
    </xf>
    <xf numFmtId="0" fontId="3" fillId="0" borderId="22" xfId="24" applyFont="1" applyBorder="1" applyAlignment="1">
      <alignment horizontal="centerContinuous"/>
      <protection/>
    </xf>
    <xf numFmtId="0" fontId="3" fillId="0" borderId="23" xfId="24" applyFont="1" applyBorder="1" applyAlignment="1">
      <alignment horizontal="centerContinuous"/>
      <protection/>
    </xf>
    <xf numFmtId="0" fontId="0" fillId="0" borderId="24" xfId="24" applyFont="1" applyBorder="1" applyAlignment="1">
      <alignment/>
      <protection/>
    </xf>
    <xf numFmtId="0" fontId="3" fillId="0" borderId="23" xfId="24" applyFont="1" applyBorder="1" applyAlignment="1">
      <alignment horizontal="centerContinuous" vertical="center"/>
      <protection/>
    </xf>
    <xf numFmtId="0" fontId="3" fillId="0" borderId="22" xfId="24" applyFont="1" applyBorder="1" applyAlignment="1">
      <alignment horizontal="centerContinuous" vertical="center" wrapText="1"/>
      <protection/>
    </xf>
    <xf numFmtId="0" fontId="0" fillId="0" borderId="22" xfId="24" applyFont="1" applyBorder="1" applyAlignment="1">
      <alignment horizontal="centerContinuous"/>
      <protection/>
    </xf>
    <xf numFmtId="0" fontId="0" fillId="0" borderId="25" xfId="24" applyFont="1" applyBorder="1" applyAlignment="1">
      <alignment horizontal="center"/>
      <protection/>
    </xf>
    <xf numFmtId="0" fontId="3" fillId="0" borderId="26" xfId="24" applyFont="1" applyBorder="1" applyAlignment="1">
      <alignment wrapText="1"/>
      <protection/>
    </xf>
    <xf numFmtId="0" fontId="3" fillId="0" borderId="27" xfId="24" applyFont="1" applyBorder="1" applyAlignment="1">
      <alignment/>
      <protection/>
    </xf>
    <xf numFmtId="0" fontId="3" fillId="0" borderId="4" xfId="24" applyFont="1" applyBorder="1" applyAlignment="1">
      <alignment horizontal="centerContinuous"/>
      <protection/>
    </xf>
    <xf numFmtId="0" fontId="3" fillId="0" borderId="28" xfId="24" applyFont="1" applyBorder="1" applyAlignment="1">
      <alignment horizontal="center"/>
      <protection/>
    </xf>
    <xf numFmtId="49" fontId="3" fillId="0" borderId="26" xfId="24" applyNumberFormat="1" applyFont="1" applyBorder="1" applyAlignment="1">
      <alignment horizontal="center" vertical="top" wrapText="1"/>
      <protection/>
    </xf>
    <xf numFmtId="49" fontId="3" fillId="0" borderId="29" xfId="24" applyNumberFormat="1" applyFont="1" applyBorder="1" applyAlignment="1">
      <alignment horizontal="center" vertical="center" wrapText="1"/>
      <protection/>
    </xf>
    <xf numFmtId="49" fontId="3" fillId="0" borderId="0" xfId="24" applyNumberFormat="1" applyFont="1" applyAlignment="1">
      <alignment horizontal="center" vertical="center" wrapText="1"/>
      <protection/>
    </xf>
    <xf numFmtId="49" fontId="3" fillId="0" borderId="27" xfId="24" applyNumberFormat="1" applyFont="1" applyBorder="1" applyAlignment="1">
      <alignment horizontal="center" vertical="center" wrapText="1"/>
      <protection/>
    </xf>
    <xf numFmtId="0" fontId="3" fillId="0" borderId="27" xfId="24" applyFont="1" applyBorder="1" applyAlignment="1">
      <alignment horizontal="center" vertical="center" wrapText="1"/>
      <protection/>
    </xf>
    <xf numFmtId="49" fontId="3" fillId="0" borderId="28" xfId="24" applyNumberFormat="1" applyFont="1" applyBorder="1" applyAlignment="1">
      <alignment horizontal="center" vertical="center" wrapText="1"/>
      <protection/>
    </xf>
    <xf numFmtId="49" fontId="3" fillId="0" borderId="0" xfId="24" applyNumberFormat="1" applyFont="1">
      <alignment/>
      <protection/>
    </xf>
    <xf numFmtId="0" fontId="3" fillId="0" borderId="8" xfId="24" applyFont="1" applyBorder="1" applyAlignment="1">
      <alignment horizontal="center" wrapText="1"/>
      <protection/>
    </xf>
    <xf numFmtId="0" fontId="3" fillId="0" borderId="1" xfId="24" applyFont="1" applyBorder="1" applyAlignment="1">
      <alignment horizontal="center"/>
      <protection/>
    </xf>
    <xf numFmtId="0" fontId="3" fillId="0" borderId="9" xfId="24" applyFont="1" applyBorder="1" applyAlignment="1">
      <alignment horizontal="center"/>
      <protection/>
    </xf>
    <xf numFmtId="3" fontId="4" fillId="0" borderId="30" xfId="24" applyNumberFormat="1" applyFont="1" applyBorder="1">
      <alignment/>
      <protection/>
    </xf>
    <xf numFmtId="212" fontId="2" fillId="0" borderId="1" xfId="24" applyNumberFormat="1" applyFont="1" applyBorder="1">
      <alignment/>
      <protection/>
    </xf>
    <xf numFmtId="201" fontId="23" fillId="0" borderId="1" xfId="24" applyNumberFormat="1" applyFont="1" applyBorder="1">
      <alignment/>
      <protection/>
    </xf>
    <xf numFmtId="201" fontId="23" fillId="0" borderId="9" xfId="24" applyNumberFormat="1" applyFont="1" applyBorder="1">
      <alignment/>
      <protection/>
    </xf>
    <xf numFmtId="3" fontId="3" fillId="0" borderId="30" xfId="24" applyNumberFormat="1" applyFont="1" applyBorder="1">
      <alignment/>
      <protection/>
    </xf>
    <xf numFmtId="212" fontId="2" fillId="0" borderId="9" xfId="24" applyNumberFormat="1" applyFont="1" applyBorder="1">
      <alignment/>
      <protection/>
    </xf>
    <xf numFmtId="0" fontId="4" fillId="0" borderId="0" xfId="24" applyFont="1">
      <alignment/>
      <protection/>
    </xf>
    <xf numFmtId="0" fontId="4" fillId="0" borderId="31" xfId="24" applyFont="1" applyBorder="1" applyAlignment="1">
      <alignment horizontal="right" wrapText="1"/>
      <protection/>
    </xf>
    <xf numFmtId="212" fontId="2" fillId="0" borderId="11" xfId="24" applyNumberFormat="1" applyFont="1" applyBorder="1">
      <alignment/>
      <protection/>
    </xf>
    <xf numFmtId="212" fontId="2" fillId="0" borderId="12" xfId="24" applyNumberFormat="1" applyFont="1" applyBorder="1">
      <alignment/>
      <protection/>
    </xf>
    <xf numFmtId="0" fontId="3" fillId="0" borderId="0" xfId="24" applyFont="1" applyBorder="1" applyAlignment="1">
      <alignment/>
      <protection/>
    </xf>
    <xf numFmtId="0" fontId="2" fillId="0" borderId="0" xfId="24" applyFont="1" applyBorder="1">
      <alignment/>
      <protection/>
    </xf>
    <xf numFmtId="49" fontId="2" fillId="0" borderId="0" xfId="24" applyNumberFormat="1" applyFont="1" applyBorder="1" applyAlignment="1">
      <alignment/>
      <protection/>
    </xf>
    <xf numFmtId="49" fontId="2" fillId="0" borderId="0" xfId="24" applyNumberFormat="1" applyFont="1" applyBorder="1" applyAlignment="1">
      <alignment horizontal="center" vertical="top" wrapText="1"/>
      <protection/>
    </xf>
    <xf numFmtId="0" fontId="2" fillId="0" borderId="0" xfId="24" applyFont="1" applyBorder="1" applyAlignment="1">
      <alignment horizontal="center"/>
      <protection/>
    </xf>
    <xf numFmtId="0" fontId="23" fillId="0" borderId="0" xfId="24" applyFont="1" applyBorder="1" applyAlignment="1">
      <alignment wrapText="1"/>
      <protection/>
    </xf>
    <xf numFmtId="0" fontId="23" fillId="0" borderId="0" xfId="24" applyFont="1" applyBorder="1">
      <alignment/>
      <protection/>
    </xf>
    <xf numFmtId="0" fontId="2" fillId="0" borderId="0" xfId="24" applyFont="1" applyBorder="1" applyAlignment="1">
      <alignment horizontal="left"/>
      <protection/>
    </xf>
    <xf numFmtId="0" fontId="3" fillId="0" borderId="0" xfId="24" applyFont="1" applyAlignment="1">
      <alignment wrapText="1"/>
      <protection/>
    </xf>
    <xf numFmtId="0" fontId="1" fillId="0" borderId="0" xfId="24" applyFont="1" applyAlignment="1">
      <alignment/>
      <protection/>
    </xf>
    <xf numFmtId="0" fontId="4" fillId="0" borderId="0" xfId="24" applyFont="1" applyAlignment="1">
      <alignment horizontal="centerContinuous" wrapText="1"/>
      <protection/>
    </xf>
    <xf numFmtId="0" fontId="0" fillId="0" borderId="32" xfId="24" applyFont="1" applyBorder="1" applyAlignment="1">
      <alignment horizontal="center" vertical="top" wrapText="1"/>
      <protection/>
    </xf>
    <xf numFmtId="0" fontId="0" fillId="0" borderId="24" xfId="24" applyFont="1" applyBorder="1" applyAlignment="1">
      <alignment horizontal="center" vertical="top"/>
      <protection/>
    </xf>
    <xf numFmtId="0" fontId="0" fillId="0" borderId="24" xfId="24" applyFont="1" applyBorder="1" applyAlignment="1">
      <alignment horizontal="centerContinuous"/>
      <protection/>
    </xf>
    <xf numFmtId="0" fontId="0" fillId="0" borderId="23" xfId="24" applyFont="1" applyBorder="1" applyAlignment="1">
      <alignment horizontal="centerContinuous" vertical="center"/>
      <protection/>
    </xf>
    <xf numFmtId="0" fontId="0" fillId="0" borderId="22" xfId="24" applyFont="1" applyBorder="1" applyAlignment="1">
      <alignment horizontal="centerContinuous" vertical="center" wrapText="1"/>
      <protection/>
    </xf>
    <xf numFmtId="0" fontId="0" fillId="0" borderId="25" xfId="24" applyFont="1" applyBorder="1" applyAlignment="1">
      <alignment horizontal="center" vertical="top" wrapText="1"/>
      <protection/>
    </xf>
    <xf numFmtId="0" fontId="3" fillId="0" borderId="33" xfId="24" applyFont="1" applyBorder="1" applyAlignment="1">
      <alignment horizontal="center" vertical="top" wrapText="1"/>
      <protection/>
    </xf>
    <xf numFmtId="0" fontId="3" fillId="0" borderId="27" xfId="24" applyFont="1" applyBorder="1" applyAlignment="1">
      <alignment horizontal="center" vertical="top"/>
      <protection/>
    </xf>
    <xf numFmtId="0" fontId="3" fillId="0" borderId="2" xfId="24" applyFont="1" applyBorder="1" applyAlignment="1">
      <alignment horizontal="centerContinuous"/>
      <protection/>
    </xf>
    <xf numFmtId="0" fontId="3" fillId="0" borderId="15" xfId="24" applyFont="1" applyBorder="1" applyAlignment="1">
      <alignment horizontal="centerContinuous"/>
      <protection/>
    </xf>
    <xf numFmtId="0" fontId="3" fillId="0" borderId="28" xfId="24" applyFont="1" applyBorder="1" applyAlignment="1">
      <alignment/>
      <protection/>
    </xf>
    <xf numFmtId="0" fontId="3" fillId="0" borderId="27" xfId="24" applyFont="1" applyBorder="1" applyAlignment="1">
      <alignment horizontal="center" vertical="top" wrapText="1"/>
      <protection/>
    </xf>
    <xf numFmtId="0" fontId="3" fillId="0" borderId="28" xfId="24" applyFont="1" applyBorder="1" applyAlignment="1">
      <alignment horizontal="center" vertical="top" wrapText="1"/>
      <protection/>
    </xf>
    <xf numFmtId="0" fontId="3" fillId="0" borderId="8" xfId="24" applyFont="1" applyBorder="1" applyAlignment="1">
      <alignment horizontal="center" vertical="center" wrapText="1"/>
      <protection/>
    </xf>
    <xf numFmtId="0" fontId="3" fillId="0" borderId="1" xfId="24" applyFont="1" applyBorder="1" applyAlignment="1">
      <alignment horizontal="center" vertical="center"/>
      <protection/>
    </xf>
    <xf numFmtId="0" fontId="3" fillId="0" borderId="9" xfId="24" applyFont="1" applyBorder="1" applyAlignment="1">
      <alignment horizontal="center" vertical="center"/>
      <protection/>
    </xf>
    <xf numFmtId="0" fontId="3" fillId="0" borderId="8" xfId="24" applyFont="1" applyBorder="1" applyAlignment="1">
      <alignment wrapText="1"/>
      <protection/>
    </xf>
    <xf numFmtId="0" fontId="23" fillId="0" borderId="33" xfId="24" applyFont="1" applyBorder="1">
      <alignment/>
      <protection/>
    </xf>
    <xf numFmtId="0" fontId="4" fillId="0" borderId="8" xfId="24" applyFont="1" applyBorder="1" applyAlignment="1">
      <alignment horizontal="right" wrapText="1"/>
      <protection/>
    </xf>
    <xf numFmtId="3" fontId="24" fillId="0" borderId="0" xfId="24" applyNumberFormat="1" applyFont="1">
      <alignment/>
      <protection/>
    </xf>
    <xf numFmtId="0" fontId="24" fillId="0" borderId="0" xfId="24" applyFont="1">
      <alignment/>
      <protection/>
    </xf>
    <xf numFmtId="0" fontId="4" fillId="0" borderId="10" xfId="24" applyFont="1" applyBorder="1" applyAlignment="1">
      <alignment horizontal="right" wrapText="1"/>
      <protection/>
    </xf>
    <xf numFmtId="0" fontId="4" fillId="0" borderId="0" xfId="24" applyFont="1" applyBorder="1" applyAlignment="1">
      <alignment horizontal="right" wrapText="1"/>
      <protection/>
    </xf>
    <xf numFmtId="212" fontId="2" fillId="0" borderId="0" xfId="24" applyNumberFormat="1" applyFont="1" applyBorder="1">
      <alignment/>
      <protection/>
    </xf>
    <xf numFmtId="0" fontId="2" fillId="0" borderId="0" xfId="24" applyFont="1" applyAlignment="1">
      <alignment wrapText="1"/>
      <protection/>
    </xf>
    <xf numFmtId="49" fontId="3" fillId="0" borderId="0" xfId="24" applyNumberFormat="1" applyFont="1" applyBorder="1" applyAlignment="1">
      <alignment vertical="top" wrapText="1"/>
      <protection/>
    </xf>
    <xf numFmtId="49" fontId="3" fillId="0" borderId="0" xfId="24" applyNumberFormat="1" applyFont="1" applyBorder="1" applyAlignment="1">
      <alignment horizontal="center" vertical="top" wrapText="1"/>
      <protection/>
    </xf>
    <xf numFmtId="0" fontId="3" fillId="0" borderId="0" xfId="24" applyFont="1" applyBorder="1" applyAlignment="1">
      <alignment horizontal="center"/>
      <protection/>
    </xf>
    <xf numFmtId="0" fontId="3" fillId="0" borderId="0" xfId="24" applyFont="1" applyBorder="1">
      <alignment/>
      <protection/>
    </xf>
    <xf numFmtId="49" fontId="0" fillId="0" borderId="0" xfId="24" applyNumberFormat="1" applyFont="1" applyBorder="1" applyAlignment="1">
      <alignment horizontal="center" vertical="top" wrapText="1"/>
      <protection/>
    </xf>
    <xf numFmtId="0" fontId="0" fillId="0" borderId="0" xfId="24" applyFont="1" applyBorder="1">
      <alignment/>
      <protection/>
    </xf>
    <xf numFmtId="3" fontId="23" fillId="0" borderId="0" xfId="24" applyNumberFormat="1" applyFont="1" applyBorder="1">
      <alignment/>
      <protection/>
    </xf>
    <xf numFmtId="0" fontId="1" fillId="0" borderId="0" xfId="24" applyFont="1" applyAlignment="1">
      <alignment horizontal="center"/>
      <protection/>
    </xf>
    <xf numFmtId="0" fontId="2" fillId="0" borderId="5" xfId="24" applyFont="1" applyBorder="1">
      <alignment/>
      <protection/>
    </xf>
    <xf numFmtId="0" fontId="3" fillId="0" borderId="5" xfId="24" applyFont="1" applyBorder="1" applyAlignment="1">
      <alignment horizontal="right"/>
      <protection/>
    </xf>
    <xf numFmtId="0" fontId="0" fillId="0" borderId="6" xfId="24" applyFont="1" applyBorder="1" applyAlignment="1">
      <alignment horizontal="center" wrapText="1"/>
      <protection/>
    </xf>
    <xf numFmtId="3" fontId="2" fillId="0" borderId="14" xfId="24" applyNumberFormat="1" applyFont="1" applyBorder="1" applyAlignment="1">
      <alignment horizontal="center"/>
      <protection/>
    </xf>
    <xf numFmtId="0" fontId="0" fillId="0" borderId="8" xfId="24" applyFont="1" applyBorder="1" applyAlignment="1">
      <alignment horizontal="center" wrapText="1"/>
      <protection/>
    </xf>
    <xf numFmtId="3" fontId="2" fillId="0" borderId="9" xfId="24" applyNumberFormat="1" applyFont="1" applyBorder="1" applyAlignment="1">
      <alignment horizontal="center"/>
      <protection/>
    </xf>
    <xf numFmtId="0" fontId="2" fillId="0" borderId="1" xfId="24" applyFont="1" applyBorder="1">
      <alignment/>
      <protection/>
    </xf>
    <xf numFmtId="0" fontId="4" fillId="0" borderId="8" xfId="24" applyFont="1" applyBorder="1" applyAlignment="1">
      <alignment wrapText="1"/>
      <protection/>
    </xf>
    <xf numFmtId="3" fontId="8" fillId="0" borderId="9" xfId="24" applyNumberFormat="1" applyFont="1" applyBorder="1" applyAlignment="1">
      <alignment horizontal="right"/>
      <protection/>
    </xf>
    <xf numFmtId="0" fontId="0" fillId="0" borderId="8" xfId="24" applyFont="1" applyBorder="1" applyAlignment="1">
      <alignment wrapText="1"/>
      <protection/>
    </xf>
    <xf numFmtId="3" fontId="2" fillId="0" borderId="9" xfId="24" applyNumberFormat="1" applyFont="1" applyBorder="1" applyAlignment="1">
      <alignment horizontal="right"/>
      <protection/>
    </xf>
    <xf numFmtId="0" fontId="0" fillId="0" borderId="16" xfId="24" applyFont="1" applyBorder="1" applyAlignment="1">
      <alignment wrapText="1"/>
      <protection/>
    </xf>
    <xf numFmtId="3" fontId="2" fillId="0" borderId="34" xfId="24" applyNumberFormat="1" applyFont="1" applyBorder="1" applyAlignment="1">
      <alignment horizontal="right"/>
      <protection/>
    </xf>
    <xf numFmtId="0" fontId="0" fillId="0" borderId="20" xfId="24" applyFont="1" applyBorder="1" applyAlignment="1">
      <alignment wrapText="1"/>
      <protection/>
    </xf>
    <xf numFmtId="3" fontId="2" fillId="0" borderId="7" xfId="24" applyNumberFormat="1" applyFont="1" applyBorder="1" applyAlignment="1">
      <alignment horizontal="right"/>
      <protection/>
    </xf>
    <xf numFmtId="0" fontId="4" fillId="0" borderId="8" xfId="24" applyFont="1" applyBorder="1" applyAlignment="1">
      <alignment horizontal="left"/>
      <protection/>
    </xf>
    <xf numFmtId="0" fontId="4" fillId="0" borderId="10" xfId="24" applyFont="1" applyBorder="1" applyAlignment="1">
      <alignment horizontal="left"/>
      <protection/>
    </xf>
    <xf numFmtId="3" fontId="8" fillId="0" borderId="12" xfId="24" applyNumberFormat="1" applyFont="1" applyBorder="1" applyAlignment="1">
      <alignment horizontal="right"/>
      <protection/>
    </xf>
    <xf numFmtId="0" fontId="16" fillId="0" borderId="0" xfId="24" applyFont="1">
      <alignment/>
      <protection/>
    </xf>
    <xf numFmtId="3" fontId="2" fillId="0" borderId="0" xfId="24" applyNumberFormat="1" applyFont="1">
      <alignment/>
      <protection/>
    </xf>
    <xf numFmtId="3" fontId="2" fillId="0" borderId="0" xfId="24" applyNumberFormat="1" applyFont="1" applyAlignment="1">
      <alignment horizontal="center"/>
      <protection/>
    </xf>
    <xf numFmtId="0" fontId="0" fillId="0" borderId="0" xfId="24" applyFont="1" applyAlignment="1">
      <alignment horizontal="center"/>
      <protection/>
    </xf>
    <xf numFmtId="0" fontId="3" fillId="0" borderId="6" xfId="24" applyFont="1" applyBorder="1" applyAlignment="1">
      <alignment horizontal="center" vertical="center" wrapText="1"/>
      <protection/>
    </xf>
    <xf numFmtId="0" fontId="3" fillId="0" borderId="4" xfId="24" applyFont="1" applyBorder="1" applyAlignment="1">
      <alignment horizontal="center" vertical="center" wrapText="1"/>
      <protection/>
    </xf>
    <xf numFmtId="0" fontId="3" fillId="0" borderId="4" xfId="24" applyFont="1" applyBorder="1" applyAlignment="1">
      <alignment horizontal="centerContinuous" vertical="center" wrapText="1"/>
      <protection/>
    </xf>
    <xf numFmtId="0" fontId="23" fillId="0" borderId="4" xfId="24" applyFont="1" applyBorder="1" applyAlignment="1">
      <alignment horizontal="centerContinuous"/>
      <protection/>
    </xf>
    <xf numFmtId="0" fontId="3" fillId="0" borderId="14" xfId="24" applyFont="1" applyBorder="1" applyAlignment="1">
      <alignment horizontal="center" vertical="center" wrapText="1"/>
      <protection/>
    </xf>
    <xf numFmtId="0" fontId="3" fillId="0" borderId="1" xfId="24" applyFont="1" applyBorder="1" applyAlignment="1">
      <alignment horizontal="center" vertical="center" wrapText="1"/>
      <protection/>
    </xf>
    <xf numFmtId="0" fontId="3" fillId="0" borderId="9" xfId="24" applyFont="1" applyBorder="1" applyAlignment="1">
      <alignment horizontal="center" vertical="center" wrapText="1"/>
      <protection/>
    </xf>
    <xf numFmtId="164" fontId="3" fillId="0" borderId="8" xfId="24" applyNumberFormat="1" applyFont="1" applyBorder="1" applyAlignment="1">
      <alignment horizontal="center"/>
      <protection/>
    </xf>
    <xf numFmtId="164" fontId="3" fillId="0" borderId="1" xfId="24" applyNumberFormat="1" applyFont="1" applyBorder="1" applyAlignment="1">
      <alignment horizontal="center"/>
      <protection/>
    </xf>
    <xf numFmtId="164" fontId="3" fillId="0" borderId="9" xfId="24" applyNumberFormat="1" applyFont="1" applyBorder="1" applyAlignment="1">
      <alignment horizontal="center"/>
      <protection/>
    </xf>
    <xf numFmtId="3" fontId="2" fillId="0" borderId="1" xfId="24" applyNumberFormat="1" applyFont="1" applyBorder="1" applyAlignment="1">
      <alignment horizontal="right"/>
      <protection/>
    </xf>
    <xf numFmtId="164" fontId="2" fillId="0" borderId="1" xfId="24" applyNumberFormat="1" applyFont="1" applyBorder="1">
      <alignment/>
      <protection/>
    </xf>
    <xf numFmtId="0" fontId="3" fillId="0" borderId="10" xfId="24" applyFont="1" applyBorder="1" applyAlignment="1">
      <alignment wrapText="1"/>
      <protection/>
    </xf>
    <xf numFmtId="164" fontId="2" fillId="0" borderId="11" xfId="24" applyNumberFormat="1" applyFont="1" applyBorder="1">
      <alignment/>
      <protection/>
    </xf>
    <xf numFmtId="3" fontId="2" fillId="0" borderId="11" xfId="24" applyNumberFormat="1" applyFont="1" applyBorder="1" applyAlignment="1">
      <alignment horizontal="right"/>
      <protection/>
    </xf>
    <xf numFmtId="3" fontId="2" fillId="0" borderId="12" xfId="24" applyNumberFormat="1" applyFont="1" applyBorder="1" applyAlignment="1">
      <alignment horizontal="right"/>
      <protection/>
    </xf>
    <xf numFmtId="0" fontId="4" fillId="0" borderId="17" xfId="24" applyFont="1" applyBorder="1" applyAlignment="1">
      <alignment horizontal="right" wrapText="1"/>
      <protection/>
    </xf>
    <xf numFmtId="3" fontId="2" fillId="0" borderId="35" xfId="24" applyNumberFormat="1" applyFont="1" applyBorder="1" applyAlignment="1">
      <alignment horizontal="right"/>
      <protection/>
    </xf>
    <xf numFmtId="3" fontId="2" fillId="0" borderId="36" xfId="24" applyNumberFormat="1" applyFont="1" applyBorder="1" applyAlignment="1">
      <alignment horizontal="right"/>
      <protection/>
    </xf>
    <xf numFmtId="4" fontId="8" fillId="0" borderId="0" xfId="24" applyNumberFormat="1" applyFont="1" applyBorder="1">
      <alignment/>
      <protection/>
    </xf>
    <xf numFmtId="3" fontId="2" fillId="0" borderId="0" xfId="24" applyNumberFormat="1" applyFont="1" applyBorder="1" applyAlignment="1">
      <alignment horizontal="right"/>
      <protection/>
    </xf>
    <xf numFmtId="3" fontId="8" fillId="0" borderId="0" xfId="24" applyNumberFormat="1" applyFont="1" applyBorder="1" applyAlignment="1">
      <alignment horizontal="right"/>
      <protection/>
    </xf>
    <xf numFmtId="4" fontId="4" fillId="0" borderId="0" xfId="24" applyNumberFormat="1" applyFont="1" applyBorder="1">
      <alignment/>
      <protection/>
    </xf>
    <xf numFmtId="210" fontId="4" fillId="0" borderId="0" xfId="24" applyNumberFormat="1" applyFont="1" applyBorder="1">
      <alignment/>
      <protection/>
    </xf>
    <xf numFmtId="211" fontId="4" fillId="0" borderId="0" xfId="24" applyNumberFormat="1" applyFont="1" applyBorder="1">
      <alignment/>
      <protection/>
    </xf>
    <xf numFmtId="164" fontId="4" fillId="0" borderId="0" xfId="24" applyNumberFormat="1" applyFont="1" applyBorder="1">
      <alignment/>
      <protection/>
    </xf>
    <xf numFmtId="211" fontId="2" fillId="0" borderId="0" xfId="24" applyNumberFormat="1" applyFont="1" applyBorder="1">
      <alignment/>
      <protection/>
    </xf>
    <xf numFmtId="164" fontId="2" fillId="0" borderId="0" xfId="24" applyNumberFormat="1" applyFont="1" applyBorder="1">
      <alignment/>
      <protection/>
    </xf>
    <xf numFmtId="4" fontId="8" fillId="0" borderId="0" xfId="24" applyNumberFormat="1" applyFont="1">
      <alignment/>
      <protection/>
    </xf>
    <xf numFmtId="164" fontId="2" fillId="0" borderId="0" xfId="24" applyNumberFormat="1" applyFont="1">
      <alignment/>
      <protection/>
    </xf>
    <xf numFmtId="0" fontId="23" fillId="0" borderId="0" xfId="24" applyFont="1" applyAlignment="1">
      <alignment horizontal="right"/>
      <protection/>
    </xf>
    <xf numFmtId="0" fontId="7" fillId="0" borderId="0" xfId="24" applyFont="1" applyAlignment="1">
      <alignment horizontal="centerContinuous"/>
      <protection/>
    </xf>
    <xf numFmtId="0" fontId="7" fillId="0" borderId="5" xfId="24" applyFont="1" applyBorder="1" applyAlignment="1">
      <alignment horizontal="centerContinuous"/>
      <protection/>
    </xf>
    <xf numFmtId="0" fontId="0" fillId="0" borderId="5" xfId="24" applyFont="1" applyBorder="1" applyAlignment="1">
      <alignment horizontal="centerContinuous"/>
      <protection/>
    </xf>
    <xf numFmtId="164" fontId="2" fillId="0" borderId="9" xfId="24" applyNumberFormat="1" applyFont="1" applyBorder="1">
      <alignment/>
      <protection/>
    </xf>
    <xf numFmtId="0" fontId="2" fillId="0" borderId="8" xfId="24" applyFont="1" applyBorder="1" applyAlignment="1">
      <alignment/>
      <protection/>
    </xf>
    <xf numFmtId="0" fontId="6" fillId="0" borderId="8" xfId="24" applyFont="1" applyBorder="1" applyAlignment="1">
      <alignment horizontal="center" wrapText="1"/>
      <protection/>
    </xf>
    <xf numFmtId="0" fontId="8" fillId="0" borderId="8" xfId="24" applyFont="1" applyBorder="1" applyAlignment="1">
      <alignment wrapText="1"/>
      <protection/>
    </xf>
    <xf numFmtId="0" fontId="2" fillId="0" borderId="8" xfId="24" applyFont="1" applyBorder="1" applyAlignment="1">
      <alignment wrapText="1"/>
      <protection/>
    </xf>
    <xf numFmtId="0" fontId="23" fillId="0" borderId="15" xfId="24" applyFont="1" applyBorder="1">
      <alignment/>
      <protection/>
    </xf>
    <xf numFmtId="0" fontId="23" fillId="0" borderId="1" xfId="24" applyFont="1" applyBorder="1">
      <alignment/>
      <protection/>
    </xf>
    <xf numFmtId="0" fontId="4" fillId="0" borderId="10" xfId="24" applyFont="1" applyBorder="1" applyAlignment="1">
      <alignment wrapText="1"/>
      <protection/>
    </xf>
    <xf numFmtId="0" fontId="23" fillId="0" borderId="11" xfId="24" applyFont="1" applyBorder="1">
      <alignment/>
      <protection/>
    </xf>
    <xf numFmtId="164" fontId="2" fillId="0" borderId="12" xfId="24" applyNumberFormat="1" applyFont="1" applyBorder="1">
      <alignment/>
      <protection/>
    </xf>
    <xf numFmtId="0" fontId="0" fillId="0" borderId="0" xfId="24" applyNumberFormat="1" applyFont="1" applyBorder="1">
      <alignment/>
      <protection/>
    </xf>
  </cellXfs>
  <cellStyles count="12">
    <cellStyle name="Normal" xfId="0"/>
    <cellStyle name="Comma" xfId="15"/>
    <cellStyle name="Comma [0]" xfId="16"/>
    <cellStyle name="Comma [0]_Pasv_04_2000" xfId="17"/>
    <cellStyle name="Comma_Pasv_04_2000" xfId="18"/>
    <cellStyle name="Currency" xfId="19"/>
    <cellStyle name="Currency [0]" xfId="20"/>
    <cellStyle name="Currency [0]_Pasv_04_2000" xfId="21"/>
    <cellStyle name="Currency_Pasv_04_2000" xfId="22"/>
    <cellStyle name="Hyperlink" xfId="23"/>
    <cellStyle name="Normal_Pasv_04_2000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budz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kons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PB-i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PB-izd-m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4PB-ekon-klasi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5SBizdev_iene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6SB%20-ekon-klasi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7SB-zied-davi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0-arv.fin.pa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Decembris"/>
    </sheetNames>
    <sheetDataSet>
      <sheetData sheetId="2">
        <row r="5">
          <cell r="D5">
            <v>421886</v>
          </cell>
        </row>
        <row r="6">
          <cell r="D6">
            <v>24238</v>
          </cell>
        </row>
        <row r="7">
          <cell r="D7">
            <v>4067</v>
          </cell>
        </row>
        <row r="8">
          <cell r="D8">
            <v>393581</v>
          </cell>
        </row>
        <row r="9">
          <cell r="D9">
            <v>423300</v>
          </cell>
        </row>
        <row r="10">
          <cell r="D10">
            <v>24238</v>
          </cell>
        </row>
        <row r="11">
          <cell r="D11">
            <v>4067</v>
          </cell>
        </row>
        <row r="12">
          <cell r="D12">
            <v>394995</v>
          </cell>
        </row>
        <row r="13">
          <cell r="D13">
            <v>-1414</v>
          </cell>
        </row>
        <row r="14">
          <cell r="D14">
            <v>743</v>
          </cell>
        </row>
        <row r="15">
          <cell r="D15">
            <v>7037</v>
          </cell>
        </row>
        <row r="16">
          <cell r="D16">
            <v>3869</v>
          </cell>
        </row>
        <row r="17">
          <cell r="D17">
            <v>3168</v>
          </cell>
        </row>
        <row r="18">
          <cell r="D18">
            <v>9906</v>
          </cell>
        </row>
        <row r="19">
          <cell r="D19">
            <v>7481</v>
          </cell>
        </row>
        <row r="20">
          <cell r="D20">
            <v>2425</v>
          </cell>
        </row>
        <row r="21">
          <cell r="D21">
            <v>-2157</v>
          </cell>
        </row>
        <row r="22">
          <cell r="D22">
            <v>2157</v>
          </cell>
        </row>
        <row r="23">
          <cell r="D23">
            <v>8487</v>
          </cell>
        </row>
        <row r="24">
          <cell r="D24">
            <v>842</v>
          </cell>
        </row>
        <row r="25">
          <cell r="D25">
            <v>842</v>
          </cell>
        </row>
        <row r="26">
          <cell r="D26">
            <v>-3612</v>
          </cell>
        </row>
        <row r="27">
          <cell r="D27">
            <v>3612</v>
          </cell>
        </row>
        <row r="29">
          <cell r="D29">
            <v>-6085</v>
          </cell>
        </row>
        <row r="30">
          <cell r="D30">
            <v>-50185</v>
          </cell>
        </row>
        <row r="31">
          <cell r="D31">
            <v>-6524</v>
          </cell>
        </row>
        <row r="32">
          <cell r="D32">
            <v>50624</v>
          </cell>
        </row>
        <row r="33">
          <cell r="D33">
            <v>-14500</v>
          </cell>
        </row>
        <row r="34">
          <cell r="D34">
            <v>-7199</v>
          </cell>
        </row>
        <row r="35">
          <cell r="D35">
            <v>801</v>
          </cell>
        </row>
        <row r="36">
          <cell r="D36">
            <v>-8102</v>
          </cell>
        </row>
        <row r="37">
          <cell r="D37">
            <v>28230</v>
          </cell>
        </row>
        <row r="38">
          <cell r="D38">
            <v>-6330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</sheetNames>
    <sheetDataSet>
      <sheetData sheetId="2">
        <row r="9">
          <cell r="H9">
            <v>315634</v>
          </cell>
        </row>
        <row r="10">
          <cell r="H10">
            <v>170498</v>
          </cell>
        </row>
        <row r="11">
          <cell r="H11">
            <v>133491</v>
          </cell>
        </row>
        <row r="12">
          <cell r="H12">
            <v>22096</v>
          </cell>
        </row>
        <row r="13">
          <cell r="H13">
            <v>22096</v>
          </cell>
        </row>
        <row r="14">
          <cell r="H14">
            <v>107132</v>
          </cell>
        </row>
        <row r="15">
          <cell r="H15">
            <v>77958</v>
          </cell>
        </row>
        <row r="16">
          <cell r="H16">
            <v>25846</v>
          </cell>
        </row>
        <row r="17">
          <cell r="H17">
            <v>3328</v>
          </cell>
        </row>
        <row r="18">
          <cell r="H18">
            <v>4263</v>
          </cell>
        </row>
        <row r="19">
          <cell r="H19">
            <v>12954</v>
          </cell>
        </row>
        <row r="20">
          <cell r="H20">
            <v>13600</v>
          </cell>
        </row>
        <row r="21">
          <cell r="H21">
            <v>10453</v>
          </cell>
        </row>
        <row r="22">
          <cell r="H22">
            <v>200</v>
          </cell>
        </row>
        <row r="23">
          <cell r="H23">
            <v>170298</v>
          </cell>
        </row>
        <row r="24">
          <cell r="H24">
            <v>159901</v>
          </cell>
        </row>
        <row r="25">
          <cell r="H25">
            <v>159901</v>
          </cell>
        </row>
        <row r="26">
          <cell r="H26">
            <v>110048</v>
          </cell>
        </row>
        <row r="27">
          <cell r="H27">
            <v>10131</v>
          </cell>
        </row>
        <row r="28">
          <cell r="H28">
            <v>16820</v>
          </cell>
        </row>
        <row r="29">
          <cell r="H29">
            <v>155</v>
          </cell>
        </row>
        <row r="30">
          <cell r="H30">
            <v>22747</v>
          </cell>
        </row>
        <row r="31">
          <cell r="H31">
            <v>14565</v>
          </cell>
        </row>
        <row r="32">
          <cell r="H32">
            <v>145336</v>
          </cell>
        </row>
        <row r="33">
          <cell r="H33">
            <v>324073</v>
          </cell>
        </row>
        <row r="34">
          <cell r="H34">
            <v>311304</v>
          </cell>
        </row>
        <row r="35">
          <cell r="H35">
            <v>4402</v>
          </cell>
        </row>
        <row r="36">
          <cell r="H36">
            <v>8367</v>
          </cell>
        </row>
        <row r="37">
          <cell r="H37">
            <v>-8439</v>
          </cell>
        </row>
        <row r="38">
          <cell r="H38">
            <v>-3336</v>
          </cell>
        </row>
        <row r="39">
          <cell r="H39">
            <v>320737</v>
          </cell>
        </row>
        <row r="40">
          <cell r="H40">
            <v>-5103</v>
          </cell>
        </row>
        <row r="41">
          <cell r="H41">
            <v>161145</v>
          </cell>
        </row>
        <row r="42">
          <cell r="H42">
            <v>14565</v>
          </cell>
        </row>
        <row r="43">
          <cell r="H43">
            <v>146580</v>
          </cell>
        </row>
        <row r="44">
          <cell r="H44">
            <v>154566</v>
          </cell>
        </row>
        <row r="45">
          <cell r="H45">
            <v>14477</v>
          </cell>
        </row>
        <row r="46">
          <cell r="H46">
            <v>140089</v>
          </cell>
        </row>
        <row r="47">
          <cell r="H47">
            <v>1605</v>
          </cell>
        </row>
        <row r="48">
          <cell r="H48">
            <v>1605</v>
          </cell>
        </row>
        <row r="49">
          <cell r="H49">
            <v>4974</v>
          </cell>
        </row>
        <row r="50">
          <cell r="H50">
            <v>88</v>
          </cell>
        </row>
        <row r="51">
          <cell r="H51">
            <v>4886</v>
          </cell>
        </row>
        <row r="52">
          <cell r="H52">
            <v>9353</v>
          </cell>
        </row>
        <row r="53">
          <cell r="H53">
            <v>-4428</v>
          </cell>
        </row>
        <row r="54">
          <cell r="H54">
            <v>18457</v>
          </cell>
        </row>
        <row r="55">
          <cell r="H55">
            <v>22885</v>
          </cell>
        </row>
        <row r="56">
          <cell r="H56">
            <v>-4428</v>
          </cell>
        </row>
        <row r="57">
          <cell r="H57">
            <v>-9104</v>
          </cell>
        </row>
        <row r="58">
          <cell r="H58">
            <v>177693</v>
          </cell>
        </row>
        <row r="59">
          <cell r="H59">
            <v>200</v>
          </cell>
        </row>
        <row r="60">
          <cell r="H60">
            <v>177493</v>
          </cell>
        </row>
        <row r="61">
          <cell r="H61">
            <v>171415</v>
          </cell>
        </row>
        <row r="62">
          <cell r="H62">
            <v>200</v>
          </cell>
        </row>
        <row r="63">
          <cell r="H63">
            <v>171215</v>
          </cell>
        </row>
        <row r="64">
          <cell r="H64">
            <v>2797</v>
          </cell>
        </row>
        <row r="65">
          <cell r="H65">
            <v>2797</v>
          </cell>
        </row>
        <row r="66">
          <cell r="H66">
            <v>3481</v>
          </cell>
        </row>
        <row r="67">
          <cell r="H67">
            <v>3481</v>
          </cell>
        </row>
        <row r="68">
          <cell r="H68">
            <v>-17792</v>
          </cell>
        </row>
        <row r="69">
          <cell r="H69">
            <v>1092</v>
          </cell>
        </row>
        <row r="70">
          <cell r="H70">
            <v>1092</v>
          </cell>
        </row>
        <row r="71">
          <cell r="H71">
            <v>1092</v>
          </cell>
        </row>
        <row r="72">
          <cell r="H72">
            <v>-18884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rbam"/>
      <sheetName val="Janvāris"/>
      <sheetName val="Februaris"/>
      <sheetName val="feb.labotais"/>
      <sheetName val="MARTS"/>
      <sheetName val="Aprīlis "/>
      <sheetName val="nodokļi"/>
      <sheetName val="Sheet3"/>
      <sheetName val="Maijs"/>
      <sheetName val="Jūnijs"/>
      <sheetName val="Jūlijs"/>
      <sheetName val="Augusts"/>
      <sheetName val="Septembris"/>
      <sheetName val="iensad"/>
      <sheetName val="tukš"/>
      <sheetName val="Sheet1"/>
      <sheetName val="nav"/>
      <sheetName val="sadale"/>
      <sheetName val="Sheet2"/>
    </sheetNames>
    <sheetDataSet>
      <sheetData sheetId="1">
        <row r="29">
          <cell r="F29">
            <v>0</v>
          </cell>
        </row>
      </sheetData>
      <sheetData sheetId="4">
        <row r="12">
          <cell r="J12">
            <v>22096</v>
          </cell>
        </row>
        <row r="14">
          <cell r="J14">
            <v>77958</v>
          </cell>
        </row>
        <row r="15">
          <cell r="J15">
            <v>25846</v>
          </cell>
        </row>
        <row r="16">
          <cell r="J16">
            <v>3328</v>
          </cell>
        </row>
        <row r="17">
          <cell r="J17">
            <v>4263</v>
          </cell>
        </row>
        <row r="19">
          <cell r="J19">
            <v>27</v>
          </cell>
        </row>
        <row r="20">
          <cell r="J20">
            <v>2570</v>
          </cell>
        </row>
        <row r="21">
          <cell r="J21">
            <v>3145</v>
          </cell>
        </row>
        <row r="22">
          <cell r="J22">
            <v>129</v>
          </cell>
        </row>
        <row r="23">
          <cell r="J23">
            <v>1284</v>
          </cell>
        </row>
        <row r="24">
          <cell r="J24">
            <v>121</v>
          </cell>
        </row>
        <row r="25">
          <cell r="J25">
            <v>2147</v>
          </cell>
        </row>
        <row r="26">
          <cell r="J26">
            <v>3433</v>
          </cell>
        </row>
        <row r="27">
          <cell r="J27">
            <v>200</v>
          </cell>
        </row>
        <row r="28">
          <cell r="J28">
            <v>3233</v>
          </cell>
        </row>
        <row r="29">
          <cell r="J29">
            <v>98</v>
          </cell>
        </row>
        <row r="30">
          <cell r="J30">
            <v>0</v>
          </cell>
        </row>
        <row r="31">
          <cell r="J31">
            <v>13600</v>
          </cell>
        </row>
        <row r="32">
          <cell r="J32">
            <v>13600</v>
          </cell>
        </row>
        <row r="33">
          <cell r="J33">
            <v>10453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Sheet4"/>
      <sheetName val="Sheet2"/>
      <sheetName val="Sheet1"/>
      <sheetName val="darbam"/>
      <sheetName val="Maijs"/>
      <sheetName val="Jūnijs"/>
      <sheetName val="Jūlijs"/>
      <sheetName val="Augusts "/>
      <sheetName val="Septembris"/>
    </sheetNames>
    <sheetDataSet>
      <sheetData sheetId="0">
        <row r="52">
          <cell r="D52" t="str">
            <v>Izpilde no gada sākuma</v>
          </cell>
        </row>
        <row r="53">
          <cell r="D53">
            <v>4</v>
          </cell>
        </row>
        <row r="66">
          <cell r="D66">
            <v>52577.229999999996</v>
          </cell>
        </row>
        <row r="77">
          <cell r="D77">
            <v>3152.1499999999996</v>
          </cell>
        </row>
        <row r="84">
          <cell r="D84">
            <v>9044</v>
          </cell>
        </row>
        <row r="95">
          <cell r="D95">
            <v>621280</v>
          </cell>
        </row>
      </sheetData>
      <sheetData sheetId="1">
        <row r="8">
          <cell r="K8" t="str">
            <v>Izpilde no gada sākuma</v>
          </cell>
        </row>
        <row r="9">
          <cell r="K9">
            <v>4</v>
          </cell>
        </row>
        <row r="14">
          <cell r="D14">
            <v>130006.8</v>
          </cell>
        </row>
        <row r="15">
          <cell r="D15">
            <v>4271.19</v>
          </cell>
        </row>
        <row r="17">
          <cell r="D17">
            <v>668440.4</v>
          </cell>
        </row>
        <row r="18">
          <cell r="D18">
            <v>50454.49</v>
          </cell>
        </row>
        <row r="20">
          <cell r="D20">
            <v>436345.65</v>
          </cell>
        </row>
        <row r="21">
          <cell r="D21">
            <v>8514.53</v>
          </cell>
        </row>
        <row r="23">
          <cell r="D23">
            <v>5441205.66</v>
          </cell>
        </row>
        <row r="24">
          <cell r="D24">
            <v>172037.77</v>
          </cell>
        </row>
        <row r="26">
          <cell r="D26">
            <v>1743625.92</v>
          </cell>
        </row>
        <row r="27">
          <cell r="D27">
            <v>52459.79</v>
          </cell>
        </row>
        <row r="29">
          <cell r="D29">
            <v>934148.45</v>
          </cell>
        </row>
        <row r="30">
          <cell r="D30">
            <v>6157.06</v>
          </cell>
        </row>
        <row r="32">
          <cell r="D32">
            <v>10251346.86</v>
          </cell>
        </row>
        <row r="33">
          <cell r="D33">
            <v>1777572.47</v>
          </cell>
        </row>
        <row r="35">
          <cell r="D35">
            <v>11554762.16</v>
          </cell>
        </row>
        <row r="36">
          <cell r="D36">
            <v>195705.12</v>
          </cell>
        </row>
        <row r="38">
          <cell r="D38">
            <v>9346607.81</v>
          </cell>
        </row>
        <row r="39">
          <cell r="D39">
            <v>171302.11</v>
          </cell>
        </row>
        <row r="41">
          <cell r="D41">
            <v>6986996</v>
          </cell>
        </row>
        <row r="42">
          <cell r="D42">
            <v>323012.66</v>
          </cell>
        </row>
        <row r="44">
          <cell r="D44">
            <v>1057668.52</v>
          </cell>
        </row>
        <row r="45">
          <cell r="D45">
            <v>114185.18</v>
          </cell>
        </row>
        <row r="47">
          <cell r="D47">
            <v>24168314.1</v>
          </cell>
        </row>
        <row r="48">
          <cell r="D48">
            <v>205181.52</v>
          </cell>
        </row>
        <row r="50">
          <cell r="D50">
            <v>3569053.85</v>
          </cell>
        </row>
        <row r="51">
          <cell r="D51">
            <v>293990</v>
          </cell>
        </row>
        <row r="55">
          <cell r="D55">
            <v>931530.89</v>
          </cell>
        </row>
        <row r="56">
          <cell r="D56">
            <v>162947</v>
          </cell>
        </row>
        <row r="58">
          <cell r="D58">
            <v>2651823</v>
          </cell>
        </row>
        <row r="59">
          <cell r="D59">
            <v>125629.63</v>
          </cell>
        </row>
        <row r="61">
          <cell r="D61">
            <v>1673137.96</v>
          </cell>
        </row>
        <row r="62">
          <cell r="D62">
            <v>103566.64</v>
          </cell>
        </row>
        <row r="64">
          <cell r="D64">
            <v>152442.91</v>
          </cell>
        </row>
        <row r="65">
          <cell r="D65">
            <v>1991.84</v>
          </cell>
        </row>
        <row r="67">
          <cell r="D67">
            <v>107688.06</v>
          </cell>
        </row>
        <row r="68">
          <cell r="D68">
            <v>40301.130000000005</v>
          </cell>
        </row>
        <row r="69">
          <cell r="D69">
            <v>39409.41</v>
          </cell>
        </row>
        <row r="70">
          <cell r="D70">
            <v>891.72</v>
          </cell>
        </row>
        <row r="72">
          <cell r="D72">
            <v>967695.92</v>
          </cell>
        </row>
        <row r="73">
          <cell r="D73">
            <v>6349.61</v>
          </cell>
        </row>
        <row r="75">
          <cell r="D75">
            <v>10539.12</v>
          </cell>
        </row>
        <row r="76">
          <cell r="D76">
            <v>0</v>
          </cell>
        </row>
        <row r="78">
          <cell r="D78">
            <v>6123.45</v>
          </cell>
        </row>
        <row r="79">
          <cell r="D79">
            <v>114068</v>
          </cell>
        </row>
        <row r="80">
          <cell r="D80">
            <v>114068</v>
          </cell>
        </row>
        <row r="81">
          <cell r="D81">
            <v>1078272.3</v>
          </cell>
        </row>
        <row r="82">
          <cell r="D82">
            <v>1077682.3</v>
          </cell>
        </row>
        <row r="83">
          <cell r="D83">
            <v>590</v>
          </cell>
        </row>
        <row r="85">
          <cell r="D85">
            <v>18088</v>
          </cell>
        </row>
        <row r="86">
          <cell r="D86">
            <v>269625.33</v>
          </cell>
        </row>
        <row r="87">
          <cell r="D87">
            <v>269625.33</v>
          </cell>
        </row>
        <row r="88">
          <cell r="D88">
            <v>0</v>
          </cell>
        </row>
        <row r="90">
          <cell r="D90">
            <v>114505.07</v>
          </cell>
        </row>
        <row r="91">
          <cell r="D91">
            <v>1824.17</v>
          </cell>
        </row>
        <row r="93">
          <cell r="D93">
            <v>14123779</v>
          </cell>
        </row>
        <row r="94">
          <cell r="D94">
            <v>291014.91</v>
          </cell>
        </row>
        <row r="96">
          <cell r="D96">
            <v>1242550</v>
          </cell>
        </row>
      </sheetData>
      <sheetData sheetId="2">
        <row r="10">
          <cell r="K10">
            <v>161145</v>
          </cell>
        </row>
        <row r="11">
          <cell r="K11">
            <v>154566</v>
          </cell>
        </row>
        <row r="12">
          <cell r="K12">
            <v>6579</v>
          </cell>
        </row>
        <row r="13">
          <cell r="K13">
            <v>217</v>
          </cell>
        </row>
        <row r="14">
          <cell r="K14">
            <v>211</v>
          </cell>
        </row>
        <row r="15">
          <cell r="K15">
            <v>6</v>
          </cell>
        </row>
        <row r="16">
          <cell r="K16">
            <v>1414</v>
          </cell>
        </row>
        <row r="17">
          <cell r="K17">
            <v>1186</v>
          </cell>
        </row>
        <row r="18">
          <cell r="K18">
            <v>228</v>
          </cell>
        </row>
        <row r="19">
          <cell r="K19">
            <v>708</v>
          </cell>
        </row>
        <row r="20">
          <cell r="K20">
            <v>694</v>
          </cell>
        </row>
        <row r="21">
          <cell r="K21">
            <v>14</v>
          </cell>
        </row>
        <row r="22">
          <cell r="K22">
            <v>8905</v>
          </cell>
        </row>
        <row r="23">
          <cell r="K23">
            <v>8680</v>
          </cell>
        </row>
        <row r="24">
          <cell r="K24">
            <v>225</v>
          </cell>
        </row>
        <row r="25">
          <cell r="K25">
            <v>2493</v>
          </cell>
        </row>
        <row r="26">
          <cell r="K26">
            <v>2404</v>
          </cell>
        </row>
        <row r="27">
          <cell r="K27">
            <v>89</v>
          </cell>
        </row>
        <row r="28">
          <cell r="K28">
            <v>1472</v>
          </cell>
        </row>
        <row r="29">
          <cell r="K29">
            <v>1458</v>
          </cell>
        </row>
        <row r="30">
          <cell r="K30">
            <v>14</v>
          </cell>
        </row>
        <row r="31">
          <cell r="K31">
            <v>19756</v>
          </cell>
        </row>
        <row r="32">
          <cell r="K32">
            <v>17309</v>
          </cell>
        </row>
        <row r="33">
          <cell r="K33">
            <v>2447</v>
          </cell>
        </row>
        <row r="34">
          <cell r="K34">
            <v>18158</v>
          </cell>
        </row>
        <row r="35">
          <cell r="K35">
            <v>17778</v>
          </cell>
        </row>
        <row r="36">
          <cell r="K36">
            <v>380</v>
          </cell>
        </row>
        <row r="37">
          <cell r="K37">
            <v>14646</v>
          </cell>
        </row>
        <row r="38">
          <cell r="K38">
            <v>14274</v>
          </cell>
        </row>
        <row r="39">
          <cell r="K39">
            <v>372</v>
          </cell>
        </row>
        <row r="40">
          <cell r="K40">
            <v>10838</v>
          </cell>
        </row>
        <row r="41">
          <cell r="K41">
            <v>10340</v>
          </cell>
        </row>
        <row r="42">
          <cell r="K42">
            <v>498</v>
          </cell>
        </row>
        <row r="43">
          <cell r="K43">
            <v>1724</v>
          </cell>
        </row>
        <row r="44">
          <cell r="K44">
            <v>1604</v>
          </cell>
        </row>
        <row r="45">
          <cell r="K45">
            <v>120</v>
          </cell>
        </row>
        <row r="46">
          <cell r="K46">
            <v>36770</v>
          </cell>
        </row>
        <row r="47">
          <cell r="K47">
            <v>36435</v>
          </cell>
        </row>
        <row r="48">
          <cell r="K48">
            <v>335</v>
          </cell>
        </row>
        <row r="49">
          <cell r="K49">
            <v>6624</v>
          </cell>
        </row>
        <row r="50">
          <cell r="K50">
            <v>6030</v>
          </cell>
        </row>
        <row r="51">
          <cell r="K51">
            <v>594</v>
          </cell>
        </row>
        <row r="52">
          <cell r="K52" t="str">
            <v>Izpilde no gada sākuma</v>
          </cell>
        </row>
        <row r="53">
          <cell r="K53">
            <v>4</v>
          </cell>
        </row>
        <row r="54">
          <cell r="K54">
            <v>1761</v>
          </cell>
        </row>
        <row r="55">
          <cell r="K55">
            <v>1491</v>
          </cell>
        </row>
        <row r="56">
          <cell r="K56">
            <v>270</v>
          </cell>
        </row>
        <row r="57">
          <cell r="K57">
            <v>4104</v>
          </cell>
        </row>
        <row r="58">
          <cell r="K58">
            <v>3872</v>
          </cell>
        </row>
        <row r="59">
          <cell r="K59">
            <v>232</v>
          </cell>
        </row>
        <row r="60">
          <cell r="K60">
            <v>2922</v>
          </cell>
        </row>
        <row r="61">
          <cell r="K61">
            <v>2746</v>
          </cell>
        </row>
        <row r="62">
          <cell r="K62">
            <v>176</v>
          </cell>
        </row>
        <row r="63">
          <cell r="K63">
            <v>234</v>
          </cell>
        </row>
        <row r="64">
          <cell r="K64">
            <v>232</v>
          </cell>
        </row>
        <row r="65">
          <cell r="K65">
            <v>2</v>
          </cell>
        </row>
        <row r="66">
          <cell r="K66">
            <v>166</v>
          </cell>
        </row>
        <row r="67">
          <cell r="K67">
            <v>166</v>
          </cell>
        </row>
        <row r="68">
          <cell r="K68">
            <v>71</v>
          </cell>
        </row>
        <row r="69">
          <cell r="K69">
            <v>70</v>
          </cell>
        </row>
        <row r="70">
          <cell r="K70">
            <v>1</v>
          </cell>
        </row>
        <row r="71">
          <cell r="K71">
            <v>1475</v>
          </cell>
        </row>
        <row r="72">
          <cell r="K72">
            <v>1463</v>
          </cell>
        </row>
        <row r="73">
          <cell r="K73">
            <v>12</v>
          </cell>
        </row>
        <row r="74">
          <cell r="K74">
            <v>17</v>
          </cell>
        </row>
        <row r="75">
          <cell r="K75">
            <v>17</v>
          </cell>
        </row>
        <row r="76">
          <cell r="K76">
            <v>0</v>
          </cell>
        </row>
        <row r="77">
          <cell r="K77">
            <v>11</v>
          </cell>
        </row>
        <row r="78">
          <cell r="K78">
            <v>11</v>
          </cell>
        </row>
        <row r="79">
          <cell r="K79">
            <v>175</v>
          </cell>
        </row>
        <row r="80">
          <cell r="K80">
            <v>175</v>
          </cell>
        </row>
        <row r="81">
          <cell r="K81">
            <v>1644</v>
          </cell>
        </row>
        <row r="82">
          <cell r="K82">
            <v>1623</v>
          </cell>
        </row>
        <row r="83">
          <cell r="K83">
            <v>21</v>
          </cell>
        </row>
        <row r="84">
          <cell r="K84">
            <v>27</v>
          </cell>
        </row>
        <row r="85">
          <cell r="K85">
            <v>27</v>
          </cell>
        </row>
        <row r="86">
          <cell r="K86">
            <v>383</v>
          </cell>
        </row>
        <row r="87">
          <cell r="K87">
            <v>383</v>
          </cell>
        </row>
        <row r="88">
          <cell r="K88">
            <v>0</v>
          </cell>
        </row>
        <row r="89">
          <cell r="K89">
            <v>192</v>
          </cell>
        </row>
        <row r="90">
          <cell r="K90">
            <v>189</v>
          </cell>
        </row>
        <row r="91">
          <cell r="K91">
            <v>3</v>
          </cell>
        </row>
        <row r="92">
          <cell r="K92">
            <v>22374</v>
          </cell>
        </row>
        <row r="93">
          <cell r="K93">
            <v>21834</v>
          </cell>
        </row>
        <row r="94">
          <cell r="K94">
            <v>540</v>
          </cell>
        </row>
        <row r="95">
          <cell r="K95">
            <v>1864</v>
          </cell>
        </row>
        <row r="96">
          <cell r="K96">
            <v>1864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rbam"/>
      <sheetName val="Janvāris"/>
      <sheetName val="Februāris"/>
      <sheetName val="Marts"/>
      <sheetName val="Aprīlis"/>
      <sheetName val="Sheet5"/>
      <sheetName val="sadale"/>
      <sheetName val="dot spec"/>
      <sheetName val="kapizd"/>
      <sheetName val="Sheet2"/>
      <sheetName val="Sheet3"/>
      <sheetName val="Maijs"/>
      <sheetName val="Jūnijs"/>
      <sheetName val="Jūlijs"/>
      <sheetName val="Augusts"/>
      <sheetName val="Septembris"/>
      <sheetName val="sadaletab"/>
      <sheetName val="Sheet4"/>
      <sheetName val="nav"/>
    </sheetNames>
    <sheetDataSet>
      <sheetData sheetId="2">
        <row r="9">
          <cell r="K9" t="str">
            <v>Izpilde no gada sākuma</v>
          </cell>
        </row>
        <row r="10">
          <cell r="K10">
            <v>4</v>
          </cell>
        </row>
        <row r="52">
          <cell r="K52">
            <v>0</v>
          </cell>
        </row>
        <row r="53">
          <cell r="K53">
            <v>28</v>
          </cell>
        </row>
      </sheetData>
      <sheetData sheetId="3">
        <row r="11">
          <cell r="K11">
            <v>170498</v>
          </cell>
        </row>
        <row r="12">
          <cell r="K12">
            <v>169938</v>
          </cell>
        </row>
        <row r="13">
          <cell r="K13">
            <v>155589</v>
          </cell>
        </row>
        <row r="14">
          <cell r="K14">
            <v>0</v>
          </cell>
        </row>
        <row r="15">
          <cell r="K15">
            <v>13600</v>
          </cell>
        </row>
        <row r="16">
          <cell r="K16">
            <v>749</v>
          </cell>
        </row>
        <row r="17">
          <cell r="K17">
            <v>161145</v>
          </cell>
        </row>
        <row r="18">
          <cell r="K18">
            <v>154566</v>
          </cell>
        </row>
        <row r="19">
          <cell r="K19">
            <v>78320</v>
          </cell>
        </row>
        <row r="20">
          <cell r="K20">
            <v>36584</v>
          </cell>
        </row>
        <row r="21">
          <cell r="K21">
            <v>10151</v>
          </cell>
        </row>
        <row r="22">
          <cell r="K22">
            <v>31585</v>
          </cell>
        </row>
        <row r="23">
          <cell r="K23">
            <v>6359</v>
          </cell>
        </row>
        <row r="24">
          <cell r="K24">
            <v>2682</v>
          </cell>
        </row>
        <row r="25">
          <cell r="K25">
            <v>3405</v>
          </cell>
        </row>
        <row r="26">
          <cell r="K26">
            <v>272</v>
          </cell>
        </row>
        <row r="27">
          <cell r="K27">
            <v>69887</v>
          </cell>
        </row>
        <row r="28">
          <cell r="K28">
            <v>3542</v>
          </cell>
        </row>
        <row r="29">
          <cell r="K29">
            <v>21834</v>
          </cell>
        </row>
        <row r="30">
          <cell r="K30">
            <v>1864</v>
          </cell>
        </row>
        <row r="31">
          <cell r="K31">
            <v>23216</v>
          </cell>
        </row>
        <row r="32">
          <cell r="K32">
            <v>14477</v>
          </cell>
        </row>
        <row r="33">
          <cell r="K33">
            <v>8802</v>
          </cell>
        </row>
        <row r="34">
          <cell r="K34">
            <v>18193</v>
          </cell>
        </row>
        <row r="35">
          <cell r="K35">
            <v>266</v>
          </cell>
        </row>
        <row r="36">
          <cell r="K36">
            <v>13398</v>
          </cell>
        </row>
        <row r="37">
          <cell r="K37">
            <v>1780</v>
          </cell>
        </row>
        <row r="38">
          <cell r="K38">
            <v>2749</v>
          </cell>
        </row>
        <row r="39">
          <cell r="K39">
            <v>1238</v>
          </cell>
        </row>
        <row r="40">
          <cell r="K40">
            <v>6579</v>
          </cell>
        </row>
        <row r="41">
          <cell r="K41">
            <v>1605</v>
          </cell>
        </row>
        <row r="42">
          <cell r="K42">
            <v>4974</v>
          </cell>
        </row>
        <row r="43">
          <cell r="K43">
            <v>88</v>
          </cell>
        </row>
        <row r="44">
          <cell r="K44">
            <v>540</v>
          </cell>
        </row>
        <row r="45">
          <cell r="K45">
            <v>18457</v>
          </cell>
        </row>
        <row r="46">
          <cell r="K46">
            <v>29117</v>
          </cell>
        </row>
        <row r="47">
          <cell r="K47">
            <v>24246</v>
          </cell>
        </row>
        <row r="48">
          <cell r="K48">
            <v>10660</v>
          </cell>
        </row>
        <row r="49">
          <cell r="K49">
            <v>1360</v>
          </cell>
        </row>
        <row r="50">
          <cell r="K50">
            <v>-9104</v>
          </cell>
        </row>
        <row r="51">
          <cell r="K51">
            <v>9104</v>
          </cell>
        </row>
        <row r="52">
          <cell r="K52">
            <v>0</v>
          </cell>
        </row>
        <row r="53">
          <cell r="K53">
            <v>28</v>
          </cell>
        </row>
        <row r="54">
          <cell r="K54">
            <v>9076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Sheet4"/>
      <sheetName val="Sheet2"/>
      <sheetName val="Sheet1"/>
      <sheetName val="Sheet3"/>
      <sheetName val="Maijs"/>
      <sheetName val="Jūnijs"/>
      <sheetName val="Jūlijs"/>
      <sheetName val="Augusts"/>
      <sheetName val="Septembris"/>
    </sheetNames>
    <sheetDataSet>
      <sheetData sheetId="2">
        <row r="22">
          <cell r="D22">
            <v>593939</v>
          </cell>
          <cell r="J22">
            <v>594</v>
          </cell>
        </row>
        <row r="24">
          <cell r="D24">
            <v>594005</v>
          </cell>
          <cell r="J24">
            <v>594</v>
          </cell>
        </row>
        <row r="25">
          <cell r="D25">
            <v>6945</v>
          </cell>
          <cell r="J25">
            <v>7</v>
          </cell>
        </row>
        <row r="29">
          <cell r="D29">
            <v>538214</v>
          </cell>
          <cell r="J29">
            <v>538</v>
          </cell>
        </row>
        <row r="30">
          <cell r="D30">
            <v>248624</v>
          </cell>
          <cell r="J30">
            <v>249</v>
          </cell>
        </row>
        <row r="32">
          <cell r="D32">
            <v>149720</v>
          </cell>
          <cell r="J32">
            <v>150</v>
          </cell>
        </row>
        <row r="35">
          <cell r="D35">
            <v>249995</v>
          </cell>
          <cell r="J35">
            <v>250</v>
          </cell>
        </row>
        <row r="37">
          <cell r="D37">
            <v>9914</v>
          </cell>
          <cell r="J37">
            <v>10</v>
          </cell>
        </row>
        <row r="41">
          <cell r="D41">
            <v>777100</v>
          </cell>
          <cell r="J41">
            <v>777</v>
          </cell>
        </row>
        <row r="43">
          <cell r="D43">
            <v>614033</v>
          </cell>
          <cell r="J43">
            <v>614</v>
          </cell>
        </row>
        <row r="44">
          <cell r="D44">
            <v>300000</v>
          </cell>
        </row>
        <row r="45">
          <cell r="D45">
            <v>144500</v>
          </cell>
          <cell r="J45">
            <v>145</v>
          </cell>
        </row>
        <row r="48">
          <cell r="D48">
            <v>184698</v>
          </cell>
          <cell r="J48">
            <v>185</v>
          </cell>
        </row>
        <row r="50">
          <cell r="D50">
            <v>101932</v>
          </cell>
          <cell r="J50">
            <v>102</v>
          </cell>
        </row>
        <row r="51">
          <cell r="J51">
            <v>0</v>
          </cell>
        </row>
        <row r="52">
          <cell r="D52">
            <v>1102567</v>
          </cell>
          <cell r="J52">
            <v>1103</v>
          </cell>
        </row>
        <row r="53">
          <cell r="D53">
            <v>11225</v>
          </cell>
          <cell r="J53">
            <v>11</v>
          </cell>
        </row>
        <row r="54">
          <cell r="D54">
            <v>-1008576</v>
          </cell>
          <cell r="J54">
            <v>-1009</v>
          </cell>
        </row>
        <row r="55">
          <cell r="D55">
            <v>1102568</v>
          </cell>
          <cell r="J55">
            <v>1102</v>
          </cell>
        </row>
        <row r="59">
          <cell r="D59">
            <v>114972</v>
          </cell>
          <cell r="J59">
            <v>115</v>
          </cell>
        </row>
        <row r="60">
          <cell r="D60">
            <v>21545</v>
          </cell>
          <cell r="J60">
            <v>21</v>
          </cell>
        </row>
        <row r="62">
          <cell r="D62">
            <v>90327</v>
          </cell>
          <cell r="J62">
            <v>90</v>
          </cell>
        </row>
        <row r="63">
          <cell r="J63">
            <v>0</v>
          </cell>
        </row>
        <row r="67">
          <cell r="D67">
            <v>2226308</v>
          </cell>
          <cell r="J67">
            <v>2226</v>
          </cell>
        </row>
        <row r="68">
          <cell r="D68">
            <v>9571596</v>
          </cell>
          <cell r="J68">
            <v>9572</v>
          </cell>
        </row>
        <row r="69">
          <cell r="D69">
            <v>6913</v>
          </cell>
          <cell r="J69">
            <v>7</v>
          </cell>
        </row>
        <row r="70">
          <cell r="D70">
            <v>154761</v>
          </cell>
          <cell r="J70">
            <v>155</v>
          </cell>
        </row>
        <row r="72">
          <cell r="D72">
            <v>12051319</v>
          </cell>
          <cell r="J72">
            <v>12051</v>
          </cell>
        </row>
        <row r="73">
          <cell r="D73">
            <v>3156168</v>
          </cell>
          <cell r="J73">
            <v>3156</v>
          </cell>
        </row>
        <row r="74">
          <cell r="D74">
            <v>-3247909</v>
          </cell>
          <cell r="J74">
            <v>-3247</v>
          </cell>
        </row>
        <row r="75">
          <cell r="D75">
            <v>3145310</v>
          </cell>
          <cell r="J75">
            <v>3145</v>
          </cell>
        </row>
        <row r="78">
          <cell r="D78">
            <v>158405</v>
          </cell>
          <cell r="J78">
            <v>158</v>
          </cell>
        </row>
        <row r="79">
          <cell r="D79">
            <v>2314</v>
          </cell>
          <cell r="J79">
            <v>2</v>
          </cell>
        </row>
        <row r="81">
          <cell r="D81">
            <v>121618</v>
          </cell>
          <cell r="J81">
            <v>122</v>
          </cell>
        </row>
        <row r="82">
          <cell r="D82">
            <v>11380</v>
          </cell>
          <cell r="J82">
            <v>11</v>
          </cell>
        </row>
        <row r="84">
          <cell r="D84">
            <v>589601</v>
          </cell>
          <cell r="J84">
            <v>590</v>
          </cell>
        </row>
        <row r="86">
          <cell r="D86">
            <v>1563770</v>
          </cell>
          <cell r="J86">
            <v>1564</v>
          </cell>
        </row>
        <row r="87">
          <cell r="D87">
            <v>1000000</v>
          </cell>
          <cell r="J87">
            <v>1000</v>
          </cell>
        </row>
        <row r="91">
          <cell r="D91">
            <v>16820421</v>
          </cell>
          <cell r="J91">
            <v>16820</v>
          </cell>
        </row>
        <row r="92">
          <cell r="D92">
            <v>12220459</v>
          </cell>
          <cell r="J92">
            <v>12220</v>
          </cell>
        </row>
        <row r="93">
          <cell r="D93">
            <v>446800</v>
          </cell>
          <cell r="J93">
            <v>447</v>
          </cell>
        </row>
        <row r="95">
          <cell r="D95">
            <v>29057056</v>
          </cell>
          <cell r="J95">
            <v>29057</v>
          </cell>
        </row>
        <row r="96">
          <cell r="D96">
            <v>113161</v>
          </cell>
          <cell r="J96">
            <v>113</v>
          </cell>
        </row>
        <row r="97">
          <cell r="D97">
            <v>317463</v>
          </cell>
          <cell r="J97">
            <v>317</v>
          </cell>
        </row>
        <row r="98">
          <cell r="D98">
            <v>92916</v>
          </cell>
          <cell r="J98">
            <v>93</v>
          </cell>
        </row>
        <row r="101">
          <cell r="D101">
            <v>110047752</v>
          </cell>
          <cell r="J101">
            <v>110048</v>
          </cell>
        </row>
        <row r="102">
          <cell r="D102">
            <v>1381864</v>
          </cell>
          <cell r="J102">
            <v>1382</v>
          </cell>
        </row>
        <row r="103">
          <cell r="D103">
            <v>491860</v>
          </cell>
          <cell r="J103">
            <v>492</v>
          </cell>
        </row>
        <row r="105">
          <cell r="D105">
            <v>127110266</v>
          </cell>
          <cell r="J105">
            <v>127110</v>
          </cell>
        </row>
        <row r="106">
          <cell r="D106">
            <v>486144</v>
          </cell>
          <cell r="J106">
            <v>486</v>
          </cell>
        </row>
        <row r="107">
          <cell r="D107">
            <v>-15674934</v>
          </cell>
          <cell r="J107">
            <v>-15675</v>
          </cell>
        </row>
        <row r="108">
          <cell r="D108">
            <v>17827534</v>
          </cell>
          <cell r="J108">
            <v>17828</v>
          </cell>
        </row>
        <row r="111">
          <cell r="D111">
            <v>82670242</v>
          </cell>
          <cell r="J111">
            <v>82670</v>
          </cell>
        </row>
        <row r="112">
          <cell r="D112">
            <v>769150</v>
          </cell>
          <cell r="J112">
            <v>769</v>
          </cell>
        </row>
        <row r="113">
          <cell r="D113">
            <v>4182734</v>
          </cell>
          <cell r="J113">
            <v>4183</v>
          </cell>
        </row>
        <row r="115">
          <cell r="D115">
            <v>100880395</v>
          </cell>
          <cell r="J115">
            <v>100880</v>
          </cell>
        </row>
        <row r="116">
          <cell r="D116">
            <v>-13258269</v>
          </cell>
          <cell r="J116">
            <v>-13258</v>
          </cell>
        </row>
        <row r="117">
          <cell r="D117">
            <v>13284137</v>
          </cell>
          <cell r="J117">
            <v>13284</v>
          </cell>
        </row>
        <row r="120">
          <cell r="D120">
            <v>7479593</v>
          </cell>
          <cell r="J120">
            <v>7480</v>
          </cell>
        </row>
        <row r="121">
          <cell r="D121">
            <v>103555</v>
          </cell>
          <cell r="J121">
            <v>104</v>
          </cell>
        </row>
        <row r="122">
          <cell r="D122">
            <v>3168111</v>
          </cell>
          <cell r="J122">
            <v>3168</v>
          </cell>
        </row>
        <row r="124">
          <cell r="D124">
            <v>9136516</v>
          </cell>
          <cell r="J124">
            <v>9137</v>
          </cell>
        </row>
        <row r="125">
          <cell r="D125">
            <v>1614743</v>
          </cell>
          <cell r="J125">
            <v>1615</v>
          </cell>
        </row>
        <row r="128">
          <cell r="D128">
            <v>241987</v>
          </cell>
          <cell r="J128">
            <v>242</v>
          </cell>
        </row>
        <row r="130">
          <cell r="D130">
            <v>8867</v>
          </cell>
          <cell r="J130">
            <v>9</v>
          </cell>
        </row>
        <row r="132">
          <cell r="D132">
            <v>188100</v>
          </cell>
          <cell r="J132">
            <v>188</v>
          </cell>
        </row>
        <row r="134">
          <cell r="D134">
            <v>62754</v>
          </cell>
          <cell r="J134">
            <v>63</v>
          </cell>
        </row>
        <row r="135">
          <cell r="J135">
            <v>0</v>
          </cell>
        </row>
        <row r="138">
          <cell r="D138">
            <v>19655930</v>
          </cell>
          <cell r="J138">
            <v>19656</v>
          </cell>
        </row>
        <row r="140">
          <cell r="D140">
            <v>135691</v>
          </cell>
          <cell r="J140">
            <v>136</v>
          </cell>
        </row>
        <row r="142">
          <cell r="D142">
            <v>23889048</v>
          </cell>
          <cell r="J142">
            <v>23889</v>
          </cell>
        </row>
        <row r="143">
          <cell r="D143">
            <v>-4097427</v>
          </cell>
          <cell r="J143">
            <v>-4097</v>
          </cell>
        </row>
        <row r="144">
          <cell r="D144">
            <v>4097875</v>
          </cell>
          <cell r="J144">
            <v>4098</v>
          </cell>
        </row>
        <row r="147">
          <cell r="D147">
            <v>509159</v>
          </cell>
          <cell r="J147">
            <v>509</v>
          </cell>
        </row>
        <row r="148">
          <cell r="D148">
            <v>2129633</v>
          </cell>
          <cell r="J148">
            <v>2130</v>
          </cell>
        </row>
        <row r="150">
          <cell r="D150">
            <v>2149383</v>
          </cell>
          <cell r="J150">
            <v>2149</v>
          </cell>
        </row>
        <row r="151">
          <cell r="D151">
            <v>486144</v>
          </cell>
          <cell r="J151">
            <v>486</v>
          </cell>
        </row>
        <row r="152">
          <cell r="D152">
            <v>3265</v>
          </cell>
          <cell r="J152">
            <v>4</v>
          </cell>
        </row>
        <row r="153">
          <cell r="D153">
            <v>445522</v>
          </cell>
          <cell r="J153">
            <v>446</v>
          </cell>
        </row>
        <row r="157">
          <cell r="D157">
            <v>2010304</v>
          </cell>
          <cell r="J157">
            <v>2010</v>
          </cell>
        </row>
        <row r="158">
          <cell r="D158">
            <v>135531</v>
          </cell>
          <cell r="J158">
            <v>135</v>
          </cell>
        </row>
        <row r="159">
          <cell r="D159">
            <v>20716</v>
          </cell>
          <cell r="J159">
            <v>21</v>
          </cell>
        </row>
        <row r="161">
          <cell r="D161">
            <v>921387</v>
          </cell>
          <cell r="J161">
            <v>921</v>
          </cell>
        </row>
        <row r="162">
          <cell r="D162">
            <v>623318</v>
          </cell>
          <cell r="J162">
            <v>623</v>
          </cell>
        </row>
        <row r="164">
          <cell r="D164">
            <v>443709</v>
          </cell>
          <cell r="J164">
            <v>444</v>
          </cell>
        </row>
        <row r="166">
          <cell r="D166">
            <v>45702</v>
          </cell>
          <cell r="J166">
            <v>46</v>
          </cell>
        </row>
        <row r="167">
          <cell r="D167">
            <v>164444</v>
          </cell>
          <cell r="J167">
            <v>164</v>
          </cell>
        </row>
        <row r="171">
          <cell r="D171">
            <v>301872</v>
          </cell>
          <cell r="J171">
            <v>302</v>
          </cell>
        </row>
        <row r="172">
          <cell r="D172">
            <v>121816</v>
          </cell>
          <cell r="J172">
            <v>122</v>
          </cell>
        </row>
        <row r="173">
          <cell r="J173">
            <v>0</v>
          </cell>
        </row>
        <row r="175">
          <cell r="D175">
            <v>509000</v>
          </cell>
          <cell r="J175">
            <v>509</v>
          </cell>
        </row>
        <row r="178">
          <cell r="D178">
            <v>19030</v>
          </cell>
          <cell r="J178">
            <v>19</v>
          </cell>
        </row>
        <row r="180">
          <cell r="D180">
            <v>38871</v>
          </cell>
          <cell r="J180">
            <v>39</v>
          </cell>
        </row>
        <row r="181">
          <cell r="D181">
            <v>9014</v>
          </cell>
          <cell r="J181">
            <v>9</v>
          </cell>
        </row>
        <row r="182">
          <cell r="D182">
            <v>-28855</v>
          </cell>
          <cell r="J182">
            <v>-29</v>
          </cell>
        </row>
        <row r="183">
          <cell r="D183">
            <v>17350</v>
          </cell>
          <cell r="J183">
            <v>17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Sheet4"/>
      <sheetName val="Sheet2"/>
      <sheetName val="Sheet1"/>
      <sheetName val="Sheet3"/>
      <sheetName val="Maijs"/>
      <sheetName val="Jūnijs"/>
      <sheetName val="Jūlijs"/>
      <sheetName val="Augusts"/>
      <sheetName val="Septembris"/>
    </sheetNames>
    <sheetDataSet>
      <sheetData sheetId="2">
        <row r="11">
          <cell r="D11">
            <v>159252899</v>
          </cell>
          <cell r="K11">
            <v>159253</v>
          </cell>
        </row>
        <row r="12">
          <cell r="D12">
            <v>493459</v>
          </cell>
          <cell r="K12">
            <v>493</v>
          </cell>
        </row>
        <row r="13">
          <cell r="D13">
            <v>154761</v>
          </cell>
          <cell r="K13">
            <v>155</v>
          </cell>
        </row>
        <row r="17">
          <cell r="D17">
            <v>268457</v>
          </cell>
          <cell r="K17">
            <v>268</v>
          </cell>
        </row>
        <row r="18">
          <cell r="D18">
            <v>85696</v>
          </cell>
          <cell r="K18">
            <v>86</v>
          </cell>
        </row>
        <row r="19">
          <cell r="D19">
            <v>6176472</v>
          </cell>
          <cell r="K19">
            <v>6176</v>
          </cell>
        </row>
        <row r="20">
          <cell r="D20">
            <v>924698</v>
          </cell>
          <cell r="K20">
            <v>925</v>
          </cell>
        </row>
        <row r="22">
          <cell r="D22">
            <v>177021</v>
          </cell>
          <cell r="K22">
            <v>177</v>
          </cell>
        </row>
        <row r="23">
          <cell r="D23">
            <v>572293</v>
          </cell>
          <cell r="K23">
            <v>572</v>
          </cell>
        </row>
        <row r="25">
          <cell r="D25">
            <v>630233</v>
          </cell>
          <cell r="K25">
            <v>630</v>
          </cell>
        </row>
        <row r="26">
          <cell r="D26">
            <v>4067036</v>
          </cell>
          <cell r="K26">
            <v>4067</v>
          </cell>
        </row>
        <row r="27">
          <cell r="K27">
            <v>0</v>
          </cell>
        </row>
        <row r="28">
          <cell r="D28">
            <v>34439461</v>
          </cell>
          <cell r="K28">
            <v>34440</v>
          </cell>
        </row>
        <row r="30">
          <cell r="D30">
            <v>112559269</v>
          </cell>
          <cell r="K30">
            <v>112560</v>
          </cell>
        </row>
        <row r="31">
          <cell r="D31">
            <v>11084486</v>
          </cell>
          <cell r="K31">
            <v>11084</v>
          </cell>
        </row>
        <row r="32">
          <cell r="D32">
            <v>120347</v>
          </cell>
          <cell r="K32">
            <v>120</v>
          </cell>
        </row>
        <row r="33">
          <cell r="D33">
            <v>99255</v>
          </cell>
          <cell r="K33">
            <v>99</v>
          </cell>
        </row>
        <row r="34">
          <cell r="D34">
            <v>11225</v>
          </cell>
          <cell r="K34">
            <v>11</v>
          </cell>
        </row>
        <row r="35">
          <cell r="D35">
            <v>200200</v>
          </cell>
          <cell r="K35">
            <v>200</v>
          </cell>
        </row>
        <row r="37">
          <cell r="D37">
            <v>2797084</v>
          </cell>
          <cell r="K37">
            <v>2797</v>
          </cell>
        </row>
        <row r="38">
          <cell r="D38">
            <v>3481760</v>
          </cell>
          <cell r="K38">
            <v>3481</v>
          </cell>
        </row>
        <row r="40">
          <cell r="D40">
            <v>1102567</v>
          </cell>
          <cell r="K40">
            <v>1103</v>
          </cell>
        </row>
        <row r="41">
          <cell r="D41">
            <v>11212</v>
          </cell>
          <cell r="K41">
            <v>11</v>
          </cell>
        </row>
        <row r="44">
          <cell r="D44">
            <v>22885678</v>
          </cell>
          <cell r="K44">
            <v>22885</v>
          </cell>
        </row>
        <row r="45">
          <cell r="D45">
            <v>-4000449</v>
          </cell>
          <cell r="K45">
            <v>-4000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Sheet4"/>
      <sheetName val="Sheet2"/>
      <sheetName val="Sheet1"/>
      <sheetName val="Sheet3"/>
      <sheetName val="Maijs"/>
      <sheetName val="Jūnijs"/>
      <sheetName val="Jūlijs"/>
      <sheetName val="Augusts"/>
      <sheetName val="Septembris"/>
    </sheetNames>
    <sheetDataSet>
      <sheetData sheetId="2">
        <row r="10">
          <cell r="C10">
            <v>906632</v>
          </cell>
          <cell r="H10">
            <v>907</v>
          </cell>
        </row>
        <row r="11">
          <cell r="C11">
            <v>443838</v>
          </cell>
          <cell r="H11">
            <v>444</v>
          </cell>
        </row>
        <row r="15">
          <cell r="C15">
            <v>104252</v>
          </cell>
          <cell r="H15">
            <v>104</v>
          </cell>
        </row>
        <row r="16">
          <cell r="C16">
            <v>16607</v>
          </cell>
          <cell r="H16">
            <v>17</v>
          </cell>
        </row>
        <row r="18">
          <cell r="C18">
            <v>843196</v>
          </cell>
          <cell r="H18">
            <v>843</v>
          </cell>
        </row>
        <row r="19">
          <cell r="C19">
            <v>106331</v>
          </cell>
          <cell r="H19">
            <v>106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5">
          <cell r="C25">
            <v>4601</v>
          </cell>
          <cell r="H25">
            <v>5</v>
          </cell>
        </row>
        <row r="26">
          <cell r="H26">
            <v>0</v>
          </cell>
        </row>
        <row r="27">
          <cell r="H27">
            <v>0</v>
          </cell>
        </row>
        <row r="28">
          <cell r="C28">
            <v>16689</v>
          </cell>
          <cell r="H28">
            <v>17</v>
          </cell>
        </row>
        <row r="29">
          <cell r="C29">
            <v>80920</v>
          </cell>
          <cell r="H29">
            <v>81</v>
          </cell>
        </row>
        <row r="31">
          <cell r="C31">
            <v>134208</v>
          </cell>
          <cell r="H31">
            <v>134</v>
          </cell>
        </row>
        <row r="32">
          <cell r="C32">
            <v>21413</v>
          </cell>
          <cell r="H32">
            <v>21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</sheetNames>
    <sheetDataSet>
      <sheetData sheetId="2">
        <row r="8">
          <cell r="D8">
            <v>1460908</v>
          </cell>
          <cell r="K8">
            <v>1460</v>
          </cell>
        </row>
        <row r="9">
          <cell r="D9">
            <v>749905</v>
          </cell>
          <cell r="K9">
            <v>749</v>
          </cell>
        </row>
        <row r="10">
          <cell r="D10">
            <v>749905</v>
          </cell>
          <cell r="K10">
            <v>749</v>
          </cell>
        </row>
        <row r="11">
          <cell r="D11">
            <v>0</v>
          </cell>
          <cell r="K11">
            <v>0</v>
          </cell>
        </row>
        <row r="12">
          <cell r="D12">
            <v>711003</v>
          </cell>
          <cell r="K12">
            <v>711</v>
          </cell>
        </row>
        <row r="13">
          <cell r="D13">
            <v>438167</v>
          </cell>
          <cell r="K13">
            <v>438</v>
          </cell>
        </row>
        <row r="14">
          <cell r="D14">
            <v>272836</v>
          </cell>
          <cell r="K14">
            <v>273</v>
          </cell>
        </row>
        <row r="15">
          <cell r="D15">
            <v>28294</v>
          </cell>
          <cell r="K15">
            <v>28</v>
          </cell>
        </row>
        <row r="16">
          <cell r="D16">
            <v>26402</v>
          </cell>
          <cell r="K16">
            <v>26</v>
          </cell>
        </row>
        <row r="17">
          <cell r="D17">
            <v>26402</v>
          </cell>
          <cell r="K17">
            <v>26</v>
          </cell>
        </row>
        <row r="18">
          <cell r="D18">
            <v>1892</v>
          </cell>
          <cell r="K18">
            <v>2</v>
          </cell>
        </row>
        <row r="19">
          <cell r="D19">
            <v>1892</v>
          </cell>
          <cell r="K19">
            <v>2</v>
          </cell>
        </row>
        <row r="20">
          <cell r="D20">
            <v>54855</v>
          </cell>
          <cell r="K20">
            <v>54</v>
          </cell>
        </row>
        <row r="21">
          <cell r="D21">
            <v>49216</v>
          </cell>
          <cell r="K21">
            <v>49</v>
          </cell>
        </row>
        <row r="22">
          <cell r="D22">
            <v>49216</v>
          </cell>
          <cell r="K22">
            <v>49</v>
          </cell>
        </row>
        <row r="23">
          <cell r="K23">
            <v>0</v>
          </cell>
        </row>
        <row r="24">
          <cell r="D24">
            <v>5639</v>
          </cell>
          <cell r="K24">
            <v>5</v>
          </cell>
        </row>
        <row r="25">
          <cell r="D25">
            <v>5639</v>
          </cell>
          <cell r="K25">
            <v>5</v>
          </cell>
        </row>
        <row r="26">
          <cell r="D26">
            <v>150484</v>
          </cell>
          <cell r="K26">
            <v>150</v>
          </cell>
        </row>
        <row r="27">
          <cell r="D27">
            <v>150484</v>
          </cell>
          <cell r="K27">
            <v>150</v>
          </cell>
        </row>
        <row r="28">
          <cell r="D28">
            <v>150484</v>
          </cell>
          <cell r="K28">
            <v>150</v>
          </cell>
        </row>
        <row r="29">
          <cell r="K29">
            <v>0</v>
          </cell>
        </row>
        <row r="30">
          <cell r="D30">
            <v>0</v>
          </cell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D33">
            <v>14298</v>
          </cell>
          <cell r="K33">
            <v>14</v>
          </cell>
        </row>
        <row r="34">
          <cell r="D34">
            <v>10086</v>
          </cell>
          <cell r="K34">
            <v>10</v>
          </cell>
        </row>
        <row r="35">
          <cell r="D35">
            <v>10086</v>
          </cell>
          <cell r="K35">
            <v>10</v>
          </cell>
        </row>
        <row r="36">
          <cell r="K36">
            <v>0</v>
          </cell>
        </row>
        <row r="37">
          <cell r="D37">
            <v>4212</v>
          </cell>
          <cell r="K37">
            <v>4</v>
          </cell>
        </row>
        <row r="38">
          <cell r="D38">
            <v>4212</v>
          </cell>
          <cell r="K38">
            <v>4</v>
          </cell>
        </row>
        <row r="39">
          <cell r="D39">
            <v>0</v>
          </cell>
          <cell r="K39">
            <v>0</v>
          </cell>
        </row>
        <row r="40">
          <cell r="D40">
            <v>515964</v>
          </cell>
          <cell r="K40">
            <v>516</v>
          </cell>
        </row>
        <row r="41">
          <cell r="D41">
            <v>129216</v>
          </cell>
          <cell r="K41">
            <v>129</v>
          </cell>
        </row>
        <row r="42">
          <cell r="D42">
            <v>129216</v>
          </cell>
          <cell r="K42">
            <v>129</v>
          </cell>
        </row>
        <row r="43">
          <cell r="D43">
            <v>386748</v>
          </cell>
          <cell r="K43">
            <v>387</v>
          </cell>
        </row>
        <row r="44">
          <cell r="D44">
            <v>386748</v>
          </cell>
          <cell r="K44">
            <v>387</v>
          </cell>
        </row>
        <row r="45">
          <cell r="D45">
            <v>192643</v>
          </cell>
          <cell r="K45">
            <v>193</v>
          </cell>
        </row>
        <row r="46">
          <cell r="D46">
            <v>112018</v>
          </cell>
          <cell r="K46">
            <v>112</v>
          </cell>
        </row>
        <row r="47">
          <cell r="D47">
            <v>112018</v>
          </cell>
          <cell r="K47">
            <v>112</v>
          </cell>
        </row>
        <row r="48">
          <cell r="K48">
            <v>0</v>
          </cell>
        </row>
        <row r="49">
          <cell r="D49">
            <v>80625</v>
          </cell>
          <cell r="K49">
            <v>81</v>
          </cell>
        </row>
        <row r="50">
          <cell r="D50">
            <v>11966</v>
          </cell>
          <cell r="K50">
            <v>12</v>
          </cell>
        </row>
        <row r="51">
          <cell r="D51">
            <v>68659</v>
          </cell>
          <cell r="K51">
            <v>69</v>
          </cell>
        </row>
        <row r="52">
          <cell r="D52">
            <v>115820</v>
          </cell>
          <cell r="K52">
            <v>116</v>
          </cell>
        </row>
        <row r="53">
          <cell r="D53">
            <v>0</v>
          </cell>
          <cell r="K53">
            <v>0</v>
          </cell>
        </row>
        <row r="54">
          <cell r="K54">
            <v>0</v>
          </cell>
        </row>
        <row r="55">
          <cell r="D55">
            <v>115820</v>
          </cell>
          <cell r="K55">
            <v>116</v>
          </cell>
        </row>
        <row r="56">
          <cell r="D56">
            <v>115820</v>
          </cell>
          <cell r="K56">
            <v>116</v>
          </cell>
        </row>
        <row r="57">
          <cell r="D57">
            <v>0</v>
          </cell>
          <cell r="K57">
            <v>0</v>
          </cell>
        </row>
        <row r="58">
          <cell r="D58">
            <v>0</v>
          </cell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D61">
            <v>0</v>
          </cell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D64">
            <v>95929</v>
          </cell>
          <cell r="K64">
            <v>96</v>
          </cell>
        </row>
        <row r="65">
          <cell r="D65">
            <v>0</v>
          </cell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D68">
            <v>95929</v>
          </cell>
          <cell r="K68">
            <v>96</v>
          </cell>
        </row>
        <row r="69">
          <cell r="D69">
            <v>7572</v>
          </cell>
          <cell r="K69">
            <v>8</v>
          </cell>
        </row>
        <row r="70">
          <cell r="D70">
            <v>88357</v>
          </cell>
          <cell r="K70">
            <v>88</v>
          </cell>
        </row>
        <row r="71">
          <cell r="D71">
            <v>81797</v>
          </cell>
          <cell r="K71">
            <v>82</v>
          </cell>
        </row>
        <row r="72">
          <cell r="D72">
            <v>81797</v>
          </cell>
          <cell r="K72">
            <v>82</v>
          </cell>
        </row>
        <row r="73">
          <cell r="D73">
            <v>81797</v>
          </cell>
          <cell r="K73">
            <v>82</v>
          </cell>
        </row>
        <row r="74">
          <cell r="K74">
            <v>0</v>
          </cell>
        </row>
        <row r="75">
          <cell r="D75">
            <v>0</v>
          </cell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D78">
            <v>210824</v>
          </cell>
          <cell r="K78">
            <v>211</v>
          </cell>
        </row>
        <row r="79">
          <cell r="D79">
            <v>190686</v>
          </cell>
          <cell r="K79">
            <v>191</v>
          </cell>
        </row>
        <row r="80">
          <cell r="D80">
            <v>190686</v>
          </cell>
          <cell r="K80">
            <v>191</v>
          </cell>
        </row>
        <row r="81">
          <cell r="D81">
            <v>20138</v>
          </cell>
          <cell r="K81">
            <v>20</v>
          </cell>
        </row>
        <row r="82">
          <cell r="D82">
            <v>20138</v>
          </cell>
          <cell r="K82">
            <v>20</v>
          </cell>
        </row>
        <row r="83">
          <cell r="D83">
            <v>0</v>
          </cell>
          <cell r="K83">
            <v>0</v>
          </cell>
        </row>
        <row r="84">
          <cell r="D84">
            <v>0</v>
          </cell>
          <cell r="K84">
            <v>0</v>
          </cell>
        </row>
        <row r="85">
          <cell r="D85">
            <v>0</v>
          </cell>
          <cell r="K85">
            <v>0</v>
          </cell>
        </row>
        <row r="86">
          <cell r="D86">
            <v>268909</v>
          </cell>
          <cell r="K86">
            <v>269</v>
          </cell>
        </row>
        <row r="87">
          <cell r="D87">
            <v>154761</v>
          </cell>
          <cell r="K87">
            <v>155</v>
          </cell>
        </row>
        <row r="88">
          <cell r="D88">
            <v>154761</v>
          </cell>
          <cell r="K88">
            <v>155</v>
          </cell>
        </row>
        <row r="89">
          <cell r="D89">
            <v>114148</v>
          </cell>
          <cell r="K89">
            <v>114</v>
          </cell>
        </row>
        <row r="90">
          <cell r="D90">
            <v>114148</v>
          </cell>
          <cell r="K90">
            <v>114</v>
          </cell>
        </row>
        <row r="91">
          <cell r="D91">
            <v>268909</v>
          </cell>
          <cell r="K91">
            <v>269</v>
          </cell>
        </row>
        <row r="92">
          <cell r="D92">
            <v>154761</v>
          </cell>
          <cell r="K92">
            <v>155</v>
          </cell>
        </row>
        <row r="93">
          <cell r="D93">
            <v>154761</v>
          </cell>
          <cell r="K93">
            <v>155</v>
          </cell>
        </row>
        <row r="94">
          <cell r="D94">
            <v>114148</v>
          </cell>
          <cell r="K94">
            <v>114</v>
          </cell>
        </row>
        <row r="95">
          <cell r="D95">
            <v>114148</v>
          </cell>
          <cell r="K95">
            <v>114</v>
          </cell>
        </row>
        <row r="96">
          <cell r="D96">
            <v>1649252</v>
          </cell>
          <cell r="K96">
            <v>1649</v>
          </cell>
        </row>
        <row r="97">
          <cell r="D97">
            <v>1506906</v>
          </cell>
          <cell r="K97">
            <v>1507</v>
          </cell>
        </row>
        <row r="98">
          <cell r="D98">
            <v>142346</v>
          </cell>
          <cell r="K98">
            <v>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C7" sqref="C7"/>
    </sheetView>
  </sheetViews>
  <sheetFormatPr defaultColWidth="9.140625" defaultRowHeight="12.75"/>
  <cols>
    <col min="1" max="1" width="32.57421875" style="2" customWidth="1"/>
    <col min="2" max="2" width="11.8515625" style="2" customWidth="1"/>
    <col min="3" max="4" width="12.57421875" style="2" customWidth="1"/>
    <col min="5" max="5" width="11.28125" style="2" customWidth="1"/>
  </cols>
  <sheetData>
    <row r="1" spans="1:5" ht="12.75">
      <c r="A1" s="443" t="s">
        <v>0</v>
      </c>
      <c r="B1" s="443"/>
      <c r="C1" s="443"/>
      <c r="D1" s="443"/>
      <c r="E1" s="443"/>
    </row>
    <row r="2" spans="1:5" ht="18.75" customHeight="1">
      <c r="A2" s="443"/>
      <c r="B2" s="443"/>
      <c r="C2" s="443"/>
      <c r="D2" s="443"/>
      <c r="E2" s="443"/>
    </row>
    <row r="3" spans="1:5" ht="12.75">
      <c r="A3" s="1"/>
      <c r="E3" s="3" t="s">
        <v>1</v>
      </c>
    </row>
    <row r="4" spans="1:5" ht="33.7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ht="12.75">
      <c r="A5" s="6" t="s">
        <v>7</v>
      </c>
      <c r="B5" s="7">
        <v>425871</v>
      </c>
      <c r="C5" s="8">
        <v>142142</v>
      </c>
      <c r="D5" s="7">
        <f>B5+C5</f>
        <v>568013</v>
      </c>
      <c r="E5" s="7">
        <f>D5-'[1]Marts'!D5</f>
        <v>146127</v>
      </c>
    </row>
    <row r="6" spans="1:5" ht="22.5">
      <c r="A6" s="9" t="s">
        <v>8</v>
      </c>
      <c r="B6" s="10" t="s">
        <v>9</v>
      </c>
      <c r="C6" s="10" t="s">
        <v>9</v>
      </c>
      <c r="D6" s="11">
        <f>30421+2462</f>
        <v>32883</v>
      </c>
      <c r="E6" s="11">
        <f>D6-'[1]Marts'!D6</f>
        <v>8645</v>
      </c>
    </row>
    <row r="7" spans="1:5" ht="22.5">
      <c r="A7" s="9" t="s">
        <v>10</v>
      </c>
      <c r="B7" s="10" t="s">
        <v>9</v>
      </c>
      <c r="C7" s="10" t="s">
        <v>9</v>
      </c>
      <c r="D7" s="11">
        <v>5358</v>
      </c>
      <c r="E7" s="11">
        <f>D7-'[1]Marts'!D7</f>
        <v>1291</v>
      </c>
    </row>
    <row r="8" spans="1:5" ht="12.75">
      <c r="A8" s="12" t="s">
        <v>11</v>
      </c>
      <c r="B8" s="13" t="s">
        <v>9</v>
      </c>
      <c r="C8" s="13" t="s">
        <v>9</v>
      </c>
      <c r="D8" s="7">
        <f>D5-D6-D7</f>
        <v>529772</v>
      </c>
      <c r="E8" s="7">
        <f>D8-'[1]Marts'!D8</f>
        <v>136191</v>
      </c>
    </row>
    <row r="9" spans="1:5" ht="12.75">
      <c r="A9" s="6" t="s">
        <v>12</v>
      </c>
      <c r="B9" s="7">
        <v>439910</v>
      </c>
      <c r="C9" s="8">
        <v>130916</v>
      </c>
      <c r="D9" s="7">
        <f>B9+C9</f>
        <v>570826</v>
      </c>
      <c r="E9" s="7">
        <f>D9-'[1]Marts'!D9</f>
        <v>147526</v>
      </c>
    </row>
    <row r="10" spans="1:5" ht="22.5">
      <c r="A10" s="9" t="s">
        <v>13</v>
      </c>
      <c r="B10" s="10" t="s">
        <v>9</v>
      </c>
      <c r="C10" s="10" t="s">
        <v>9</v>
      </c>
      <c r="D10" s="11">
        <v>32883</v>
      </c>
      <c r="E10" s="11">
        <f>D10-'[1]Marts'!D10</f>
        <v>8645</v>
      </c>
    </row>
    <row r="11" spans="1:5" ht="22.5">
      <c r="A11" s="9" t="s">
        <v>14</v>
      </c>
      <c r="B11" s="10" t="s">
        <v>9</v>
      </c>
      <c r="C11" s="10" t="s">
        <v>9</v>
      </c>
      <c r="D11" s="11">
        <v>5358</v>
      </c>
      <c r="E11" s="11">
        <f>D11-'[1]Marts'!D11</f>
        <v>1291</v>
      </c>
    </row>
    <row r="12" spans="1:5" ht="12.75">
      <c r="A12" s="12" t="s">
        <v>15</v>
      </c>
      <c r="B12" s="13" t="s">
        <v>9</v>
      </c>
      <c r="C12" s="13" t="s">
        <v>9</v>
      </c>
      <c r="D12" s="7">
        <f>D9-D10-D11</f>
        <v>532585</v>
      </c>
      <c r="E12" s="7">
        <f>D12-'[1]Marts'!D12</f>
        <v>137590</v>
      </c>
    </row>
    <row r="13" spans="1:5" ht="25.5">
      <c r="A13" s="12" t="s">
        <v>16</v>
      </c>
      <c r="B13" s="7">
        <f>B5-B9</f>
        <v>-14039</v>
      </c>
      <c r="C13" s="8">
        <f>C5-C9</f>
        <v>11226</v>
      </c>
      <c r="D13" s="7">
        <f>D8-D12</f>
        <v>-2813</v>
      </c>
      <c r="E13" s="7">
        <f>D13-'[1]Marts'!D13</f>
        <v>-1399</v>
      </c>
    </row>
    <row r="14" spans="1:5" ht="12.75">
      <c r="A14" s="14" t="s">
        <v>17</v>
      </c>
      <c r="B14" s="8">
        <f>B15-B18</f>
        <v>-3480</v>
      </c>
      <c r="C14" s="8">
        <f>C15-C18</f>
        <v>738</v>
      </c>
      <c r="D14" s="8">
        <f>D17-D20</f>
        <v>669</v>
      </c>
      <c r="E14" s="8">
        <f>D14-'[1]Marts'!D14</f>
        <v>-74</v>
      </c>
    </row>
    <row r="15" spans="1:5" ht="12.75">
      <c r="A15" s="15" t="s">
        <v>18</v>
      </c>
      <c r="B15" s="16">
        <v>7244</v>
      </c>
      <c r="C15" s="17">
        <v>1440</v>
      </c>
      <c r="D15" s="16">
        <f>B15+C15</f>
        <v>8684</v>
      </c>
      <c r="E15" s="16">
        <f>D15-'[1]Marts'!D15</f>
        <v>1647</v>
      </c>
    </row>
    <row r="16" spans="1:5" ht="22.5">
      <c r="A16" s="9" t="s">
        <v>19</v>
      </c>
      <c r="B16" s="10" t="s">
        <v>9</v>
      </c>
      <c r="C16" s="10" t="s">
        <v>9</v>
      </c>
      <c r="D16" s="11">
        <v>4545</v>
      </c>
      <c r="E16" s="11">
        <f>D16-'[1]Marts'!D16</f>
        <v>676</v>
      </c>
    </row>
    <row r="17" spans="1:5" ht="12.75">
      <c r="A17" s="14" t="s">
        <v>20</v>
      </c>
      <c r="B17" s="13" t="s">
        <v>9</v>
      </c>
      <c r="C17" s="13" t="s">
        <v>9</v>
      </c>
      <c r="D17" s="7">
        <f>D15-D16</f>
        <v>4139</v>
      </c>
      <c r="E17" s="7">
        <f>D17-'[1]Marts'!D17</f>
        <v>971</v>
      </c>
    </row>
    <row r="18" spans="1:5" ht="12.75">
      <c r="A18" s="15" t="s">
        <v>21</v>
      </c>
      <c r="B18" s="16">
        <v>10724</v>
      </c>
      <c r="C18" s="17">
        <v>702</v>
      </c>
      <c r="D18" s="16">
        <f>B18+C18</f>
        <v>11426</v>
      </c>
      <c r="E18" s="16">
        <f>D18-'[1]Marts'!D18</f>
        <v>1520</v>
      </c>
    </row>
    <row r="19" spans="1:5" ht="22.5">
      <c r="A19" s="9" t="s">
        <v>22</v>
      </c>
      <c r="B19" s="18" t="s">
        <v>9</v>
      </c>
      <c r="C19" s="18" t="s">
        <v>9</v>
      </c>
      <c r="D19" s="11">
        <v>7956</v>
      </c>
      <c r="E19" s="11">
        <f>D19-'[1]Marts'!D19</f>
        <v>475</v>
      </c>
    </row>
    <row r="20" spans="1:5" ht="12.75">
      <c r="A20" s="14" t="s">
        <v>23</v>
      </c>
      <c r="B20" s="13" t="s">
        <v>9</v>
      </c>
      <c r="C20" s="13" t="s">
        <v>9</v>
      </c>
      <c r="D20" s="7">
        <f>D18-D19</f>
        <v>3470</v>
      </c>
      <c r="E20" s="7">
        <f>D20-'[1]Marts'!D20</f>
        <v>1045</v>
      </c>
    </row>
    <row r="21" spans="1:5" ht="25.5">
      <c r="A21" s="12" t="s">
        <v>24</v>
      </c>
      <c r="B21" s="8">
        <f>B13-B14</f>
        <v>-10559</v>
      </c>
      <c r="C21" s="8">
        <f>C13-C14</f>
        <v>10488</v>
      </c>
      <c r="D21" s="7">
        <f>D13-D14</f>
        <v>-3482</v>
      </c>
      <c r="E21" s="7">
        <f>D21-'[1]Marts'!D21</f>
        <v>-1325</v>
      </c>
    </row>
    <row r="22" spans="1:5" ht="12.75">
      <c r="A22" s="6" t="s">
        <v>25</v>
      </c>
      <c r="B22" s="7">
        <f>B23+B38</f>
        <v>10559</v>
      </c>
      <c r="C22" s="8">
        <f>C23+C38</f>
        <v>-10488</v>
      </c>
      <c r="D22" s="7">
        <f>D23+D38</f>
        <v>3482</v>
      </c>
      <c r="E22" s="7">
        <f>D22-'[1]Marts'!D22</f>
        <v>1325</v>
      </c>
    </row>
    <row r="23" spans="1:5" ht="12.75">
      <c r="A23" s="6" t="s">
        <v>26</v>
      </c>
      <c r="B23" s="7">
        <f>B24+B29+B33+B37</f>
        <v>18721</v>
      </c>
      <c r="C23" s="8">
        <f>C24+C29+C33+C37</f>
        <v>-10488</v>
      </c>
      <c r="D23" s="8">
        <f>D24+D29+D33+D37</f>
        <v>11644</v>
      </c>
      <c r="E23" s="8">
        <f>D23-'[1]Marts'!D23</f>
        <v>3157</v>
      </c>
    </row>
    <row r="24" spans="1:5" ht="12.75">
      <c r="A24" s="19" t="s">
        <v>27</v>
      </c>
      <c r="B24" s="20">
        <f>B25+B26</f>
        <v>0</v>
      </c>
      <c r="C24" s="20">
        <f>C25+C26</f>
        <v>-2272</v>
      </c>
      <c r="D24" s="20">
        <f>D25+D28</f>
        <v>1139</v>
      </c>
      <c r="E24" s="20">
        <f>D24-'[1]Marts'!D24</f>
        <v>297</v>
      </c>
    </row>
    <row r="25" spans="1:5" ht="22.5">
      <c r="A25" s="9" t="s">
        <v>28</v>
      </c>
      <c r="B25" s="11"/>
      <c r="C25" s="21">
        <v>1139</v>
      </c>
      <c r="D25" s="11">
        <f>B25+C25</f>
        <v>1139</v>
      </c>
      <c r="E25" s="11">
        <f>D25-'[1]Marts'!D25</f>
        <v>297</v>
      </c>
    </row>
    <row r="26" spans="1:5" ht="22.5">
      <c r="A26" s="9" t="s">
        <v>29</v>
      </c>
      <c r="B26" s="11"/>
      <c r="C26" s="21">
        <v>-3411</v>
      </c>
      <c r="D26" s="11">
        <f>B26+C26</f>
        <v>-3411</v>
      </c>
      <c r="E26" s="11">
        <f>D26-'[1]Marts'!D26</f>
        <v>201</v>
      </c>
    </row>
    <row r="27" spans="1:5" ht="22.5">
      <c r="A27" s="22" t="s">
        <v>30</v>
      </c>
      <c r="B27" s="18" t="s">
        <v>9</v>
      </c>
      <c r="C27" s="18" t="s">
        <v>9</v>
      </c>
      <c r="D27" s="23">
        <v>3411</v>
      </c>
      <c r="E27" s="23">
        <f>D27-'[1]Marts'!D27</f>
        <v>-201</v>
      </c>
    </row>
    <row r="28" spans="1:5" ht="22.5">
      <c r="A28" s="9" t="s">
        <v>31</v>
      </c>
      <c r="B28" s="18" t="s">
        <v>9</v>
      </c>
      <c r="C28" s="18" t="s">
        <v>9</v>
      </c>
      <c r="D28" s="23"/>
      <c r="E28" s="23"/>
    </row>
    <row r="29" spans="1:5" ht="12.75">
      <c r="A29" s="24" t="s">
        <v>32</v>
      </c>
      <c r="B29" s="23">
        <f>SUM(B30:B32)</f>
        <v>16616</v>
      </c>
      <c r="C29" s="20">
        <f>SUM(C30:C32)</f>
        <v>0</v>
      </c>
      <c r="D29" s="23">
        <f aca="true" t="shared" si="0" ref="D29:D37">B29+C29</f>
        <v>16616</v>
      </c>
      <c r="E29" s="23">
        <f>D29-'[1]Marts'!D29</f>
        <v>22701</v>
      </c>
    </row>
    <row r="30" spans="1:5" ht="12.75">
      <c r="A30" s="9" t="s">
        <v>33</v>
      </c>
      <c r="B30" s="11">
        <v>-57061</v>
      </c>
      <c r="C30" s="21"/>
      <c r="D30" s="11">
        <f t="shared" si="0"/>
        <v>-57061</v>
      </c>
      <c r="E30" s="11">
        <f>D30-'[1]Marts'!D30</f>
        <v>-6876</v>
      </c>
    </row>
    <row r="31" spans="1:5" ht="22.5">
      <c r="A31" s="9" t="s">
        <v>34</v>
      </c>
      <c r="B31" s="11">
        <v>-22416</v>
      </c>
      <c r="C31" s="21"/>
      <c r="D31" s="11">
        <f t="shared" si="0"/>
        <v>-22416</v>
      </c>
      <c r="E31" s="11">
        <f>D31-'[1]Marts'!D31</f>
        <v>-15892</v>
      </c>
    </row>
    <row r="32" spans="1:5" ht="12.75">
      <c r="A32" s="9" t="s">
        <v>35</v>
      </c>
      <c r="B32" s="11">
        <v>96093</v>
      </c>
      <c r="C32" s="21"/>
      <c r="D32" s="11">
        <f t="shared" si="0"/>
        <v>96093</v>
      </c>
      <c r="E32" s="11">
        <f>D32-'[1]Marts'!D32</f>
        <v>45469</v>
      </c>
    </row>
    <row r="33" spans="1:5" ht="12.75">
      <c r="A33" s="25" t="s">
        <v>36</v>
      </c>
      <c r="B33" s="23">
        <f>SUM(B34:B36)</f>
        <v>-15969</v>
      </c>
      <c r="C33" s="21">
        <f>SUM(C34:C36)</f>
        <v>-14395</v>
      </c>
      <c r="D33" s="23">
        <f t="shared" si="0"/>
        <v>-30364</v>
      </c>
      <c r="E33" s="23">
        <f>D33-'[1]Marts'!D33</f>
        <v>-15864</v>
      </c>
    </row>
    <row r="34" spans="1:5" ht="12.75">
      <c r="A34" s="10" t="s">
        <v>37</v>
      </c>
      <c r="B34" s="11"/>
      <c r="C34" s="21">
        <v>-4228</v>
      </c>
      <c r="D34" s="11">
        <f t="shared" si="0"/>
        <v>-4228</v>
      </c>
      <c r="E34" s="11">
        <f>D34-'[1]Marts'!D34</f>
        <v>2971</v>
      </c>
    </row>
    <row r="35" spans="1:5" ht="12.75">
      <c r="A35" s="10" t="s">
        <v>33</v>
      </c>
      <c r="B35" s="11">
        <v>-16598</v>
      </c>
      <c r="C35" s="21"/>
      <c r="D35" s="11">
        <f t="shared" si="0"/>
        <v>-16598</v>
      </c>
      <c r="E35" s="11">
        <f>D35-'[1]Marts'!D35</f>
        <v>-17399</v>
      </c>
    </row>
    <row r="36" spans="1:5" ht="22.5">
      <c r="A36" s="9" t="s">
        <v>34</v>
      </c>
      <c r="B36" s="11">
        <v>629</v>
      </c>
      <c r="C36" s="21">
        <v>-10167</v>
      </c>
      <c r="D36" s="11">
        <f t="shared" si="0"/>
        <v>-9538</v>
      </c>
      <c r="E36" s="11">
        <f>D36-'[1]Marts'!D36</f>
        <v>-1436</v>
      </c>
    </row>
    <row r="37" spans="1:5" ht="12.75">
      <c r="A37" s="25" t="s">
        <v>38</v>
      </c>
      <c r="B37" s="23">
        <f>-6142+24216</f>
        <v>18074</v>
      </c>
      <c r="C37" s="20">
        <v>6179</v>
      </c>
      <c r="D37" s="11">
        <f t="shared" si="0"/>
        <v>24253</v>
      </c>
      <c r="E37" s="11">
        <f>D37-'[1]Marts'!D37</f>
        <v>-3977</v>
      </c>
    </row>
    <row r="38" spans="1:5" ht="12.75">
      <c r="A38" s="26" t="s">
        <v>39</v>
      </c>
      <c r="B38" s="7">
        <v>-8162</v>
      </c>
      <c r="C38" s="8"/>
      <c r="D38" s="7">
        <f>B38+C38</f>
        <v>-8162</v>
      </c>
      <c r="E38" s="7">
        <f>D38-'[1]Marts'!D38</f>
        <v>-1832</v>
      </c>
    </row>
    <row r="39" spans="1:5" ht="12.75">
      <c r="A39" s="27" t="s">
        <v>40</v>
      </c>
      <c r="B39" s="28"/>
      <c r="C39" s="29"/>
      <c r="D39" s="30"/>
      <c r="E39" s="31"/>
    </row>
    <row r="40" spans="1:5" ht="12.75">
      <c r="A40" s="27"/>
      <c r="B40" s="28"/>
      <c r="C40" s="29"/>
      <c r="D40" s="30"/>
      <c r="E40" s="31"/>
    </row>
    <row r="41" spans="1:5" ht="12.75">
      <c r="A41" s="32"/>
      <c r="B41" s="33"/>
      <c r="C41" s="29"/>
      <c r="D41" s="34"/>
      <c r="E41" s="35"/>
    </row>
    <row r="42" spans="1:5" ht="12.75">
      <c r="A42" s="444"/>
      <c r="B42" s="444"/>
      <c r="C42" s="444"/>
      <c r="D42" s="444"/>
      <c r="E42" s="31"/>
    </row>
    <row r="43" spans="1:5" ht="12.75">
      <c r="A43" s="37" t="s">
        <v>41</v>
      </c>
      <c r="B43" s="36"/>
      <c r="C43" s="36"/>
      <c r="D43" s="36"/>
      <c r="E43" s="38"/>
    </row>
    <row r="44" spans="1:5" ht="12.75">
      <c r="A44" s="36"/>
      <c r="B44" s="36"/>
      <c r="C44" s="36"/>
      <c r="D44" s="36"/>
      <c r="E44" s="31"/>
    </row>
    <row r="45" spans="1:5" ht="12.75">
      <c r="A45" s="39"/>
      <c r="B45" s="39"/>
      <c r="C45" s="40"/>
      <c r="D45" s="41"/>
      <c r="E45" s="42"/>
    </row>
    <row r="46" spans="1:5" ht="12.75">
      <c r="A46" s="39" t="s">
        <v>42</v>
      </c>
      <c r="B46" s="28"/>
      <c r="C46" s="29"/>
      <c r="D46" s="30"/>
      <c r="E46" s="31"/>
    </row>
    <row r="47" spans="1:5" ht="12.75">
      <c r="A47" s="39" t="s">
        <v>43</v>
      </c>
      <c r="B47" s="28"/>
      <c r="C47" s="29"/>
      <c r="D47" s="30"/>
      <c r="E47" s="31"/>
    </row>
  </sheetData>
  <mergeCells count="2">
    <mergeCell ref="A1:E2"/>
    <mergeCell ref="A42:D42"/>
  </mergeCells>
  <printOptions/>
  <pageMargins left="1.18" right="0.53" top="0.83" bottom="0.35" header="0.17" footer="0.21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09"/>
  <sheetViews>
    <sheetView workbookViewId="0" topLeftCell="G1">
      <selection activeCell="A5" sqref="A5"/>
    </sheetView>
  </sheetViews>
  <sheetFormatPr defaultColWidth="9.140625" defaultRowHeight="12.75"/>
  <cols>
    <col min="1" max="1" width="40.421875" style="75" hidden="1" customWidth="1"/>
    <col min="2" max="2" width="8.7109375" style="75" hidden="1" customWidth="1"/>
    <col min="3" max="3" width="11.7109375" style="75" hidden="1" customWidth="1"/>
    <col min="4" max="4" width="13.140625" style="75" hidden="1" customWidth="1"/>
    <col min="5" max="5" width="9.140625" style="75" hidden="1" customWidth="1"/>
    <col min="6" max="6" width="2.7109375" style="75" hidden="1" customWidth="1"/>
    <col min="7" max="7" width="41.7109375" style="75" customWidth="1"/>
    <col min="8" max="8" width="8.421875" style="75" customWidth="1"/>
    <col min="9" max="9" width="11.8515625" style="75" customWidth="1"/>
    <col min="10" max="10" width="8.7109375" style="75" customWidth="1"/>
    <col min="11" max="11" width="8.421875" style="75" customWidth="1"/>
    <col min="12" max="12" width="12.421875" style="75" customWidth="1"/>
    <col min="13" max="16384" width="9.140625" style="75" customWidth="1"/>
  </cols>
  <sheetData>
    <row r="2" spans="1:12" ht="12.75">
      <c r="A2" s="75" t="s">
        <v>443</v>
      </c>
      <c r="F2" s="145" t="s">
        <v>444</v>
      </c>
      <c r="G2" s="75" t="s">
        <v>445</v>
      </c>
      <c r="L2" s="401" t="s">
        <v>444</v>
      </c>
    </row>
    <row r="4" spans="1:12" ht="15.75">
      <c r="A4" s="187" t="s">
        <v>446</v>
      </c>
      <c r="G4" s="448" t="s">
        <v>447</v>
      </c>
      <c r="H4" s="448"/>
      <c r="I4" s="448"/>
      <c r="J4" s="448"/>
      <c r="K4" s="448"/>
      <c r="L4" s="448"/>
    </row>
    <row r="5" spans="1:12" ht="15.75">
      <c r="A5" s="187" t="s">
        <v>448</v>
      </c>
      <c r="G5" s="448" t="s">
        <v>228</v>
      </c>
      <c r="H5" s="448"/>
      <c r="I5" s="448"/>
      <c r="J5" s="448"/>
      <c r="K5" s="448"/>
      <c r="L5" s="448"/>
    </row>
    <row r="7" spans="6:12" ht="12.75">
      <c r="F7" s="84"/>
      <c r="L7" s="84"/>
    </row>
    <row r="8" spans="6:12" ht="12.75">
      <c r="F8" s="145" t="s">
        <v>178</v>
      </c>
      <c r="L8" s="401" t="s">
        <v>48</v>
      </c>
    </row>
    <row r="9" spans="1:12" ht="60" customHeight="1">
      <c r="A9" s="270" t="s">
        <v>2</v>
      </c>
      <c r="B9" s="85" t="s">
        <v>420</v>
      </c>
      <c r="C9" s="85" t="s">
        <v>49</v>
      </c>
      <c r="D9" s="85" t="s">
        <v>50</v>
      </c>
      <c r="E9" s="85" t="s">
        <v>421</v>
      </c>
      <c r="F9" s="85" t="s">
        <v>449</v>
      </c>
      <c r="G9" s="270" t="s">
        <v>2</v>
      </c>
      <c r="H9" s="85" t="s">
        <v>420</v>
      </c>
      <c r="I9" s="85" t="s">
        <v>49</v>
      </c>
      <c r="J9" s="85" t="s">
        <v>50</v>
      </c>
      <c r="K9" s="85" t="s">
        <v>421</v>
      </c>
      <c r="L9" s="85" t="s">
        <v>449</v>
      </c>
    </row>
    <row r="10" spans="1:12" ht="12" customHeight="1">
      <c r="A10" s="270">
        <v>1</v>
      </c>
      <c r="B10" s="270">
        <v>2</v>
      </c>
      <c r="C10" s="85">
        <v>3</v>
      </c>
      <c r="D10" s="85">
        <v>4</v>
      </c>
      <c r="E10" s="85">
        <v>5</v>
      </c>
      <c r="F10" s="159">
        <v>6</v>
      </c>
      <c r="G10" s="270">
        <v>1</v>
      </c>
      <c r="H10" s="270">
        <v>2</v>
      </c>
      <c r="I10" s="85">
        <v>3</v>
      </c>
      <c r="J10" s="85">
        <v>4</v>
      </c>
      <c r="K10" s="85">
        <v>5</v>
      </c>
      <c r="L10" s="159">
        <v>6</v>
      </c>
    </row>
    <row r="11" spans="1:12" ht="18" customHeight="1">
      <c r="A11" s="98" t="s">
        <v>301</v>
      </c>
      <c r="B11" s="213"/>
      <c r="C11" s="214">
        <f>SUM(C12:C25)</f>
        <v>750186398</v>
      </c>
      <c r="D11" s="214">
        <f>SUM(D12:D25)</f>
        <v>237326432</v>
      </c>
      <c r="E11" s="402">
        <f>IF(ISERROR(D11/C11)," ",(D11/C11))</f>
        <v>0.31635661834540485</v>
      </c>
      <c r="F11" s="214">
        <f>SUM(F12:F24)</f>
        <v>1819022</v>
      </c>
      <c r="G11" s="98" t="s">
        <v>301</v>
      </c>
      <c r="H11" s="213"/>
      <c r="I11" s="403">
        <f>SUM(I12:I25)</f>
        <v>750186</v>
      </c>
      <c r="J11" s="403">
        <f>SUM(J12:J25)</f>
        <v>237327</v>
      </c>
      <c r="K11" s="273">
        <f>IF(ISERROR(J11/I11)," ",(J11/I11))</f>
        <v>0.31635754332925436</v>
      </c>
      <c r="L11" s="403">
        <f>SUM(L12:L25)</f>
        <v>1819</v>
      </c>
    </row>
    <row r="12" spans="1:12" ht="18" customHeight="1">
      <c r="A12" s="205" t="s">
        <v>422</v>
      </c>
      <c r="B12" s="397">
        <v>1</v>
      </c>
      <c r="C12" s="172">
        <v>200829</v>
      </c>
      <c r="D12" s="172">
        <v>56338</v>
      </c>
      <c r="E12" s="404">
        <f aca="true" t="shared" si="0" ref="E12:E25">IF(ISERROR(D12/C12)," ",(D12/C12))</f>
        <v>0.28052721469508884</v>
      </c>
      <c r="F12" s="405">
        <v>175945</v>
      </c>
      <c r="G12" s="205" t="s">
        <v>422</v>
      </c>
      <c r="H12" s="397">
        <v>1</v>
      </c>
      <c r="I12" s="406">
        <f>ROUND(C12/1000,0)</f>
        <v>201</v>
      </c>
      <c r="J12" s="406">
        <f>ROUND(D12/1000,0)</f>
        <v>56</v>
      </c>
      <c r="K12" s="280">
        <f aca="true" t="shared" si="1" ref="K12:K25">IF(ISERROR(J12/I12)," ",(J12/I12))</f>
        <v>0.27860696517412936</v>
      </c>
      <c r="L12" s="406">
        <f>ROUND(F12/1000,0)</f>
        <v>176</v>
      </c>
    </row>
    <row r="13" spans="1:12" ht="18.75" customHeight="1">
      <c r="A13" s="54" t="s">
        <v>423</v>
      </c>
      <c r="B13" s="397">
        <v>2</v>
      </c>
      <c r="C13" s="172"/>
      <c r="D13" s="172"/>
      <c r="E13" s="404" t="str">
        <f t="shared" si="0"/>
        <v> </v>
      </c>
      <c r="F13" s="54">
        <v>50816</v>
      </c>
      <c r="G13" s="54" t="s">
        <v>423</v>
      </c>
      <c r="H13" s="397">
        <v>2</v>
      </c>
      <c r="I13" s="406">
        <f aca="true" t="shared" si="2" ref="I13:J25">ROUND(C13/1000,0)</f>
        <v>0</v>
      </c>
      <c r="J13" s="406">
        <f t="shared" si="2"/>
        <v>0</v>
      </c>
      <c r="K13" s="280" t="str">
        <f t="shared" si="1"/>
        <v> </v>
      </c>
      <c r="L13" s="406">
        <f>ROUND(F13/1000,0)</f>
        <v>51</v>
      </c>
    </row>
    <row r="14" spans="1:12" ht="17.25" customHeight="1">
      <c r="A14" s="54" t="s">
        <v>424</v>
      </c>
      <c r="B14" s="397">
        <v>3</v>
      </c>
      <c r="C14" s="172"/>
      <c r="D14" s="172"/>
      <c r="E14" s="404" t="str">
        <f t="shared" si="0"/>
        <v> </v>
      </c>
      <c r="F14" s="54">
        <v>109455</v>
      </c>
      <c r="G14" s="54" t="s">
        <v>424</v>
      </c>
      <c r="H14" s="397">
        <v>3</v>
      </c>
      <c r="I14" s="406">
        <f t="shared" si="2"/>
        <v>0</v>
      </c>
      <c r="J14" s="406">
        <f t="shared" si="2"/>
        <v>0</v>
      </c>
      <c r="K14" s="280" t="str">
        <f t="shared" si="1"/>
        <v> </v>
      </c>
      <c r="L14" s="406">
        <f>ROUND(F14/1000,0)</f>
        <v>109</v>
      </c>
    </row>
    <row r="15" spans="1:12" ht="16.5" customHeight="1">
      <c r="A15" s="54" t="s">
        <v>450</v>
      </c>
      <c r="B15" s="397">
        <v>4</v>
      </c>
      <c r="C15" s="172">
        <f>1198009+6739620</f>
        <v>7937629</v>
      </c>
      <c r="D15" s="172">
        <f>227624+1623765</f>
        <v>1851389</v>
      </c>
      <c r="E15" s="404">
        <f t="shared" si="0"/>
        <v>0.2332420676249797</v>
      </c>
      <c r="F15" s="54">
        <f>467330+1</f>
        <v>467331</v>
      </c>
      <c r="G15" s="54" t="s">
        <v>451</v>
      </c>
      <c r="H15" s="397">
        <v>4</v>
      </c>
      <c r="I15" s="406">
        <f t="shared" si="2"/>
        <v>7938</v>
      </c>
      <c r="J15" s="406">
        <f>ROUND(D15/1000,0)</f>
        <v>1851</v>
      </c>
      <c r="K15" s="280">
        <f t="shared" si="1"/>
        <v>0.23318216175359033</v>
      </c>
      <c r="L15" s="406">
        <f>ROUND(F15/1000,0)+1</f>
        <v>468</v>
      </c>
    </row>
    <row r="16" spans="1:12" ht="18.75" customHeight="1">
      <c r="A16" s="54" t="s">
        <v>426</v>
      </c>
      <c r="B16" s="397">
        <v>5</v>
      </c>
      <c r="C16" s="172">
        <v>135680628</v>
      </c>
      <c r="D16" s="172">
        <v>40208714</v>
      </c>
      <c r="E16" s="404">
        <f t="shared" si="0"/>
        <v>0.29634823034574986</v>
      </c>
      <c r="F16" s="54">
        <v>82193</v>
      </c>
      <c r="G16" s="54" t="s">
        <v>426</v>
      </c>
      <c r="H16" s="397">
        <v>5</v>
      </c>
      <c r="I16" s="406">
        <f t="shared" si="2"/>
        <v>135681</v>
      </c>
      <c r="J16" s="406">
        <f>ROUND(D16/1000,0)</f>
        <v>40209</v>
      </c>
      <c r="K16" s="280">
        <f t="shared" si="1"/>
        <v>0.29634952572578327</v>
      </c>
      <c r="L16" s="406">
        <f aca="true" t="shared" si="3" ref="L16:L22">ROUND(F16/1000,0)</f>
        <v>82</v>
      </c>
    </row>
    <row r="17" spans="1:12" ht="18" customHeight="1">
      <c r="A17" s="54" t="s">
        <v>427</v>
      </c>
      <c r="B17" s="397">
        <v>6</v>
      </c>
      <c r="C17" s="172">
        <v>516531015</v>
      </c>
      <c r="D17" s="172">
        <v>168912505</v>
      </c>
      <c r="E17" s="404">
        <f t="shared" si="0"/>
        <v>0.32701328689817394</v>
      </c>
      <c r="F17" s="54">
        <v>7133</v>
      </c>
      <c r="G17" s="54" t="s">
        <v>427</v>
      </c>
      <c r="H17" s="397">
        <v>6</v>
      </c>
      <c r="I17" s="406">
        <f t="shared" si="2"/>
        <v>516531</v>
      </c>
      <c r="J17" s="406">
        <f t="shared" si="2"/>
        <v>168913</v>
      </c>
      <c r="K17" s="280">
        <f t="shared" si="1"/>
        <v>0.32701425471075307</v>
      </c>
      <c r="L17" s="406">
        <f>ROUND(F17/1000,0)</f>
        <v>7</v>
      </c>
    </row>
    <row r="18" spans="1:12" ht="24" customHeight="1">
      <c r="A18" s="63" t="s">
        <v>428</v>
      </c>
      <c r="B18" s="397">
        <v>7</v>
      </c>
      <c r="C18" s="172">
        <f>8791245-190265</f>
        <v>8600980</v>
      </c>
      <c r="D18" s="172">
        <f>1989770+217403</f>
        <v>2207173</v>
      </c>
      <c r="E18" s="404">
        <f t="shared" si="0"/>
        <v>0.256618780650577</v>
      </c>
      <c r="F18" s="54">
        <f>47388+1</f>
        <v>47389</v>
      </c>
      <c r="G18" s="63" t="s">
        <v>428</v>
      </c>
      <c r="H18" s="397">
        <v>7</v>
      </c>
      <c r="I18" s="406">
        <f t="shared" si="2"/>
        <v>8601</v>
      </c>
      <c r="J18" s="406">
        <f>ROUND(D18/1000,0)</f>
        <v>2207</v>
      </c>
      <c r="K18" s="280">
        <f t="shared" si="1"/>
        <v>0.2565980699918614</v>
      </c>
      <c r="L18" s="406">
        <f t="shared" si="3"/>
        <v>47</v>
      </c>
    </row>
    <row r="19" spans="1:12" ht="15.75" customHeight="1">
      <c r="A19" s="54" t="s">
        <v>429</v>
      </c>
      <c r="B19" s="397">
        <v>8</v>
      </c>
      <c r="C19" s="172">
        <f>1550000+190265+2400000</f>
        <v>4140265</v>
      </c>
      <c r="D19" s="172">
        <f>689000+869972</f>
        <v>1558972</v>
      </c>
      <c r="E19" s="404">
        <f t="shared" si="0"/>
        <v>0.3765391828783906</v>
      </c>
      <c r="F19" s="54">
        <v>181412</v>
      </c>
      <c r="G19" s="54" t="s">
        <v>429</v>
      </c>
      <c r="H19" s="397">
        <v>8</v>
      </c>
      <c r="I19" s="406">
        <f t="shared" si="2"/>
        <v>4140</v>
      </c>
      <c r="J19" s="406">
        <f t="shared" si="2"/>
        <v>1559</v>
      </c>
      <c r="K19" s="280">
        <f t="shared" si="1"/>
        <v>0.37657004830917873</v>
      </c>
      <c r="L19" s="406">
        <f t="shared" si="3"/>
        <v>181</v>
      </c>
    </row>
    <row r="20" spans="1:12" ht="20.25" customHeight="1">
      <c r="A20" s="54" t="s">
        <v>430</v>
      </c>
      <c r="B20" s="397">
        <v>9</v>
      </c>
      <c r="C20" s="172"/>
      <c r="D20" s="172"/>
      <c r="E20" s="404" t="str">
        <f t="shared" si="0"/>
        <v> </v>
      </c>
      <c r="F20" s="54"/>
      <c r="G20" s="54" t="s">
        <v>430</v>
      </c>
      <c r="H20" s="397">
        <v>9</v>
      </c>
      <c r="I20" s="406">
        <f t="shared" si="2"/>
        <v>0</v>
      </c>
      <c r="J20" s="406">
        <f t="shared" si="2"/>
        <v>0</v>
      </c>
      <c r="K20" s="280" t="str">
        <f t="shared" si="1"/>
        <v> </v>
      </c>
      <c r="L20" s="406">
        <f t="shared" si="3"/>
        <v>0</v>
      </c>
    </row>
    <row r="21" spans="1:12" ht="24.75" customHeight="1">
      <c r="A21" s="63" t="s">
        <v>431</v>
      </c>
      <c r="B21" s="397">
        <v>10</v>
      </c>
      <c r="C21" s="172">
        <v>500000</v>
      </c>
      <c r="D21" s="172">
        <v>151308</v>
      </c>
      <c r="E21" s="404">
        <f t="shared" si="0"/>
        <v>0.302616</v>
      </c>
      <c r="F21" s="54">
        <f>35829+1</f>
        <v>35830</v>
      </c>
      <c r="G21" s="63" t="s">
        <v>431</v>
      </c>
      <c r="H21" s="397">
        <v>10</v>
      </c>
      <c r="I21" s="406">
        <f>ROUND(C21/1000,0)-1</f>
        <v>499</v>
      </c>
      <c r="J21" s="406">
        <f t="shared" si="2"/>
        <v>151</v>
      </c>
      <c r="K21" s="280">
        <f t="shared" si="1"/>
        <v>0.3026052104208417</v>
      </c>
      <c r="L21" s="406">
        <f t="shared" si="3"/>
        <v>36</v>
      </c>
    </row>
    <row r="22" spans="1:12" ht="27.75" customHeight="1">
      <c r="A22" s="63" t="s">
        <v>432</v>
      </c>
      <c r="B22" s="397">
        <v>11</v>
      </c>
      <c r="C22" s="172"/>
      <c r="D22" s="172"/>
      <c r="E22" s="404" t="str">
        <f t="shared" si="0"/>
        <v> </v>
      </c>
      <c r="F22" s="54"/>
      <c r="G22" s="63" t="s">
        <v>432</v>
      </c>
      <c r="H22" s="397">
        <v>11</v>
      </c>
      <c r="I22" s="406">
        <f t="shared" si="2"/>
        <v>0</v>
      </c>
      <c r="J22" s="406">
        <f t="shared" si="2"/>
        <v>0</v>
      </c>
      <c r="K22" s="280" t="str">
        <f t="shared" si="1"/>
        <v> </v>
      </c>
      <c r="L22" s="406">
        <f t="shared" si="3"/>
        <v>0</v>
      </c>
    </row>
    <row r="23" spans="1:12" ht="18" customHeight="1">
      <c r="A23" s="54" t="s">
        <v>433</v>
      </c>
      <c r="B23" s="397">
        <v>12</v>
      </c>
      <c r="C23" s="172">
        <v>73121252</v>
      </c>
      <c r="D23" s="172">
        <f>19613691+1563770+176289</f>
        <v>21353750</v>
      </c>
      <c r="E23" s="404">
        <f t="shared" si="0"/>
        <v>0.2920320620330735</v>
      </c>
      <c r="F23" s="54">
        <v>22303</v>
      </c>
      <c r="G23" s="54" t="s">
        <v>433</v>
      </c>
      <c r="H23" s="397">
        <v>12</v>
      </c>
      <c r="I23" s="406">
        <f t="shared" si="2"/>
        <v>73121</v>
      </c>
      <c r="J23" s="406">
        <f>ROUND(D23/1000,0)+1</f>
        <v>21355</v>
      </c>
      <c r="K23" s="280">
        <f t="shared" si="1"/>
        <v>0.29205016342774304</v>
      </c>
      <c r="L23" s="406">
        <f>ROUND(F23/1000,0)</f>
        <v>22</v>
      </c>
    </row>
    <row r="24" spans="1:12" ht="18.75" customHeight="1">
      <c r="A24" s="54" t="s">
        <v>434</v>
      </c>
      <c r="B24" s="397">
        <v>13</v>
      </c>
      <c r="C24" s="172">
        <f>2100500+1373300</f>
        <v>3473800</v>
      </c>
      <c r="D24" s="172">
        <f>186058+13290+826935</f>
        <v>1026283</v>
      </c>
      <c r="E24" s="404">
        <f t="shared" si="0"/>
        <v>0.29543525821866545</v>
      </c>
      <c r="F24" s="54">
        <f>44129+2+546762+48319+3</f>
        <v>639215</v>
      </c>
      <c r="G24" s="54" t="s">
        <v>434</v>
      </c>
      <c r="H24" s="397">
        <v>13</v>
      </c>
      <c r="I24" s="406">
        <f t="shared" si="2"/>
        <v>3474</v>
      </c>
      <c r="J24" s="406">
        <f t="shared" si="2"/>
        <v>1026</v>
      </c>
      <c r="K24" s="280">
        <f t="shared" si="1"/>
        <v>0.29533678756476683</v>
      </c>
      <c r="L24" s="406">
        <f>ROUND(F24/1000,0)+1</f>
        <v>640</v>
      </c>
    </row>
    <row r="25" spans="1:12" ht="24" customHeight="1">
      <c r="A25" s="63" t="s">
        <v>452</v>
      </c>
      <c r="B25" s="397">
        <v>14</v>
      </c>
      <c r="C25" s="172"/>
      <c r="D25" s="172"/>
      <c r="E25" s="404" t="str">
        <f t="shared" si="0"/>
        <v> </v>
      </c>
      <c r="F25" s="54"/>
      <c r="G25" s="63" t="s">
        <v>452</v>
      </c>
      <c r="H25" s="397">
        <v>14</v>
      </c>
      <c r="I25" s="406">
        <f t="shared" si="2"/>
        <v>0</v>
      </c>
      <c r="J25" s="406">
        <f t="shared" si="2"/>
        <v>0</v>
      </c>
      <c r="K25" s="280" t="str">
        <f t="shared" si="1"/>
        <v> </v>
      </c>
      <c r="L25" s="406">
        <f>ROUND(F25/1000,0)</f>
        <v>0</v>
      </c>
    </row>
    <row r="26" spans="2:11" ht="12.75">
      <c r="B26" s="84"/>
      <c r="C26" s="179"/>
      <c r="D26" s="179"/>
      <c r="E26" s="407"/>
      <c r="H26" s="84"/>
      <c r="I26" s="179"/>
      <c r="J26" s="179"/>
      <c r="K26" s="407"/>
    </row>
    <row r="27" spans="1:11" ht="12.75">
      <c r="A27" s="75" t="s">
        <v>453</v>
      </c>
      <c r="B27" s="84"/>
      <c r="C27" s="179"/>
      <c r="D27" s="179"/>
      <c r="E27" s="407"/>
      <c r="G27" s="75" t="s">
        <v>453</v>
      </c>
      <c r="H27" s="84"/>
      <c r="I27" s="179"/>
      <c r="J27" s="179"/>
      <c r="K27" s="407"/>
    </row>
    <row r="28" spans="2:11" ht="12.75">
      <c r="B28" s="84"/>
      <c r="C28" s="179"/>
      <c r="D28" s="179"/>
      <c r="E28" s="407"/>
      <c r="H28" s="84"/>
      <c r="I28" s="179"/>
      <c r="J28" s="179"/>
      <c r="K28" s="407"/>
    </row>
    <row r="29" spans="2:11" ht="12.75">
      <c r="B29" s="84"/>
      <c r="C29" s="179"/>
      <c r="D29" s="179"/>
      <c r="E29" s="407"/>
      <c r="H29" s="84"/>
      <c r="I29" s="179"/>
      <c r="J29" s="179"/>
      <c r="K29" s="407"/>
    </row>
    <row r="30" spans="2:11" ht="12.75">
      <c r="B30" s="84"/>
      <c r="C30" s="179"/>
      <c r="D30" s="179"/>
      <c r="E30" s="407"/>
      <c r="H30" s="84"/>
      <c r="I30" s="179"/>
      <c r="J30" s="179"/>
      <c r="K30" s="407"/>
    </row>
    <row r="31" spans="2:11" ht="12.75">
      <c r="B31" s="84"/>
      <c r="C31" s="179"/>
      <c r="D31" s="179"/>
      <c r="E31" s="407"/>
      <c r="H31" s="84"/>
      <c r="I31" s="179"/>
      <c r="J31" s="179"/>
      <c r="K31" s="407"/>
    </row>
    <row r="32" spans="2:11" ht="12.75">
      <c r="B32" s="84"/>
      <c r="C32" s="179"/>
      <c r="D32" s="179"/>
      <c r="E32" s="407"/>
      <c r="J32" s="179"/>
      <c r="K32" s="407"/>
    </row>
    <row r="33" spans="2:11" ht="12.75">
      <c r="B33" s="84"/>
      <c r="C33" s="179"/>
      <c r="D33" s="179"/>
      <c r="E33" s="407"/>
      <c r="H33" s="84"/>
      <c r="I33" s="179"/>
      <c r="J33" s="179"/>
      <c r="K33" s="407"/>
    </row>
    <row r="34" spans="1:11" ht="15.75" customHeight="1">
      <c r="A34" s="75" t="s">
        <v>454</v>
      </c>
      <c r="B34" s="84"/>
      <c r="C34" s="179" t="s">
        <v>439</v>
      </c>
      <c r="D34" s="179"/>
      <c r="E34" s="407"/>
      <c r="H34" s="84"/>
      <c r="I34" s="179"/>
      <c r="J34" s="179"/>
      <c r="K34" s="407"/>
    </row>
    <row r="35" spans="2:11" ht="12.75">
      <c r="B35" s="84"/>
      <c r="C35" s="179"/>
      <c r="D35" s="179"/>
      <c r="E35" s="407"/>
      <c r="H35" s="84"/>
      <c r="I35" s="179"/>
      <c r="J35" s="179"/>
      <c r="K35" s="407"/>
    </row>
    <row r="36" spans="3:11" ht="15.75" customHeight="1">
      <c r="C36" s="179"/>
      <c r="D36" s="179"/>
      <c r="E36" s="407"/>
      <c r="I36" s="179"/>
      <c r="J36" s="179"/>
      <c r="K36" s="407"/>
    </row>
    <row r="37" spans="3:11" ht="12.75">
      <c r="C37" s="179"/>
      <c r="D37" s="179"/>
      <c r="E37" s="407"/>
      <c r="G37" s="75" t="s">
        <v>454</v>
      </c>
      <c r="H37" s="84"/>
      <c r="I37" s="179" t="s">
        <v>441</v>
      </c>
      <c r="J37" s="179"/>
      <c r="K37" s="407"/>
    </row>
    <row r="38" spans="3:11" ht="12.75">
      <c r="C38" s="179"/>
      <c r="D38" s="179"/>
      <c r="E38" s="407"/>
      <c r="I38" s="179"/>
      <c r="J38" s="179"/>
      <c r="K38" s="407"/>
    </row>
    <row r="39" spans="3:11" ht="12.75">
      <c r="C39" s="179"/>
      <c r="D39" s="179"/>
      <c r="E39" s="407"/>
      <c r="I39" s="179"/>
      <c r="J39" s="179"/>
      <c r="K39" s="407"/>
    </row>
    <row r="40" spans="3:11" ht="12.75">
      <c r="C40" s="179"/>
      <c r="D40" s="179"/>
      <c r="E40" s="407"/>
      <c r="I40" s="179"/>
      <c r="J40" s="179"/>
      <c r="K40" s="407"/>
    </row>
    <row r="41" spans="3:11" ht="12.75">
      <c r="C41" s="179"/>
      <c r="D41" s="179"/>
      <c r="E41" s="407"/>
      <c r="I41" s="179"/>
      <c r="J41" s="179"/>
      <c r="K41" s="407"/>
    </row>
    <row r="42" spans="3:11" ht="12.75">
      <c r="C42" s="179"/>
      <c r="D42" s="179"/>
      <c r="E42" s="407"/>
      <c r="I42" s="179"/>
      <c r="J42" s="179"/>
      <c r="K42" s="407"/>
    </row>
    <row r="43" spans="3:11" ht="12.75">
      <c r="C43" s="179"/>
      <c r="D43" s="179"/>
      <c r="E43" s="407"/>
      <c r="I43" s="179"/>
      <c r="J43" s="179"/>
      <c r="K43" s="407"/>
    </row>
    <row r="44" spans="3:11" ht="12.75">
      <c r="C44" s="179"/>
      <c r="D44" s="179"/>
      <c r="E44" s="407"/>
      <c r="I44" s="179"/>
      <c r="J44" s="179"/>
      <c r="K44" s="407"/>
    </row>
    <row r="45" spans="1:11" ht="12.75">
      <c r="A45" s="43" t="s">
        <v>120</v>
      </c>
      <c r="C45" s="179"/>
      <c r="D45" s="179"/>
      <c r="E45" s="407"/>
      <c r="G45" s="43" t="s">
        <v>120</v>
      </c>
      <c r="I45" s="179"/>
      <c r="J45" s="179"/>
      <c r="K45" s="407"/>
    </row>
    <row r="46" spans="1:11" ht="12.75">
      <c r="A46" s="43" t="s">
        <v>43</v>
      </c>
      <c r="C46" s="179"/>
      <c r="D46" s="179"/>
      <c r="E46" s="407"/>
      <c r="G46" s="43" t="s">
        <v>43</v>
      </c>
      <c r="I46" s="179"/>
      <c r="J46" s="179"/>
      <c r="K46" s="407"/>
    </row>
    <row r="47" spans="3:11" ht="12.75">
      <c r="C47" s="179"/>
      <c r="D47" s="179"/>
      <c r="E47" s="407"/>
      <c r="I47" s="179"/>
      <c r="J47" s="179"/>
      <c r="K47" s="407"/>
    </row>
    <row r="48" spans="3:11" ht="12.75">
      <c r="C48" s="179"/>
      <c r="D48" s="179"/>
      <c r="E48" s="407"/>
      <c r="I48" s="179"/>
      <c r="J48" s="179"/>
      <c r="K48" s="407"/>
    </row>
    <row r="49" spans="3:11" ht="12.75">
      <c r="C49" s="179"/>
      <c r="D49" s="179"/>
      <c r="E49" s="407"/>
      <c r="I49" s="179"/>
      <c r="J49" s="179"/>
      <c r="K49" s="407"/>
    </row>
    <row r="50" spans="3:11" ht="12.75">
      <c r="C50" s="179"/>
      <c r="D50" s="179"/>
      <c r="E50" s="407"/>
      <c r="I50" s="179"/>
      <c r="J50" s="179"/>
      <c r="K50" s="407"/>
    </row>
    <row r="51" spans="3:11" ht="12.75">
      <c r="C51" s="179"/>
      <c r="D51" s="179"/>
      <c r="E51" s="407"/>
      <c r="I51" s="179"/>
      <c r="J51" s="179"/>
      <c r="K51" s="407"/>
    </row>
    <row r="52" spans="3:11" ht="12.75">
      <c r="C52" s="179"/>
      <c r="D52" s="179"/>
      <c r="E52" s="407"/>
      <c r="I52" s="179"/>
      <c r="J52" s="179"/>
      <c r="K52" s="407"/>
    </row>
    <row r="53" spans="3:11" ht="12.75">
      <c r="C53" s="179"/>
      <c r="D53" s="179"/>
      <c r="E53" s="407"/>
      <c r="I53" s="179"/>
      <c r="J53" s="179"/>
      <c r="K53" s="407"/>
    </row>
    <row r="54" spans="3:11" ht="12.75">
      <c r="C54" s="179"/>
      <c r="E54" s="407"/>
      <c r="I54" s="179"/>
      <c r="K54" s="407"/>
    </row>
    <row r="55" spans="3:11" ht="12.75">
      <c r="C55" s="179"/>
      <c r="E55" s="407"/>
      <c r="I55" s="179"/>
      <c r="K55" s="407"/>
    </row>
    <row r="56" spans="3:11" ht="12.75">
      <c r="C56" s="179"/>
      <c r="E56" s="407"/>
      <c r="I56" s="179"/>
      <c r="K56" s="407"/>
    </row>
    <row r="57" spans="3:11" ht="12.75">
      <c r="C57" s="179"/>
      <c r="E57" s="407"/>
      <c r="I57" s="179"/>
      <c r="K57" s="407"/>
    </row>
    <row r="58" spans="3:11" ht="12.75">
      <c r="C58" s="179"/>
      <c r="E58" s="407"/>
      <c r="I58" s="179"/>
      <c r="K58" s="407"/>
    </row>
    <row r="59" spans="3:11" ht="12.75">
      <c r="C59" s="179"/>
      <c r="E59" s="407"/>
      <c r="I59" s="179"/>
      <c r="K59" s="407"/>
    </row>
    <row r="60" spans="3:11" ht="12.75">
      <c r="C60" s="179"/>
      <c r="E60" s="407"/>
      <c r="I60" s="179"/>
      <c r="K60" s="407"/>
    </row>
    <row r="61" spans="3:11" ht="12.75">
      <c r="C61" s="179"/>
      <c r="E61" s="407"/>
      <c r="I61" s="179"/>
      <c r="K61" s="407"/>
    </row>
    <row r="62" spans="3:11" ht="12.75">
      <c r="C62" s="179"/>
      <c r="E62" s="407"/>
      <c r="I62" s="179"/>
      <c r="K62" s="407"/>
    </row>
    <row r="63" spans="3:11" ht="12.75">
      <c r="C63" s="179"/>
      <c r="E63" s="407"/>
      <c r="I63" s="179"/>
      <c r="K63" s="407"/>
    </row>
    <row r="64" spans="3:11" ht="12.75">
      <c r="C64" s="179"/>
      <c r="E64" s="407"/>
      <c r="I64" s="179"/>
      <c r="K64" s="407"/>
    </row>
    <row r="65" spans="3:11" ht="12.75">
      <c r="C65" s="179"/>
      <c r="E65" s="407"/>
      <c r="I65" s="179"/>
      <c r="K65" s="407"/>
    </row>
    <row r="66" spans="3:11" ht="12.75">
      <c r="C66" s="179"/>
      <c r="E66" s="407"/>
      <c r="I66" s="179"/>
      <c r="K66" s="407"/>
    </row>
    <row r="67" spans="3:11" ht="12.75">
      <c r="C67" s="179"/>
      <c r="E67" s="407"/>
      <c r="I67" s="179"/>
      <c r="K67" s="407"/>
    </row>
    <row r="68" spans="3:11" ht="12.75">
      <c r="C68" s="179"/>
      <c r="E68" s="407"/>
      <c r="I68" s="179"/>
      <c r="K68" s="407"/>
    </row>
    <row r="69" spans="3:11" ht="12.75">
      <c r="C69" s="179"/>
      <c r="E69" s="407"/>
      <c r="I69" s="179"/>
      <c r="K69" s="407"/>
    </row>
    <row r="70" spans="3:11" ht="12.75">
      <c r="C70" s="179"/>
      <c r="E70" s="407"/>
      <c r="I70" s="179"/>
      <c r="K70" s="407"/>
    </row>
    <row r="71" spans="3:11" ht="12.75">
      <c r="C71" s="179"/>
      <c r="E71" s="407"/>
      <c r="I71" s="179"/>
      <c r="K71" s="407"/>
    </row>
    <row r="72" spans="3:11" ht="12.75">
      <c r="C72" s="179"/>
      <c r="E72" s="407"/>
      <c r="I72" s="179"/>
      <c r="K72" s="407"/>
    </row>
    <row r="73" spans="3:11" ht="12.75">
      <c r="C73" s="179"/>
      <c r="E73" s="407"/>
      <c r="I73" s="179"/>
      <c r="K73" s="407"/>
    </row>
    <row r="74" spans="3:11" ht="12.75">
      <c r="C74" s="179"/>
      <c r="E74" s="407"/>
      <c r="I74" s="179"/>
      <c r="K74" s="407"/>
    </row>
    <row r="75" spans="3:11" ht="12.75">
      <c r="C75" s="179"/>
      <c r="E75" s="407"/>
      <c r="I75" s="179"/>
      <c r="K75" s="407"/>
    </row>
    <row r="76" spans="3:11" ht="12.75">
      <c r="C76" s="179"/>
      <c r="E76" s="407"/>
      <c r="I76" s="179"/>
      <c r="K76" s="407"/>
    </row>
    <row r="77" spans="3:11" ht="12.75">
      <c r="C77" s="179"/>
      <c r="E77" s="407"/>
      <c r="I77" s="179"/>
      <c r="K77" s="407"/>
    </row>
    <row r="78" spans="3:11" ht="12.75">
      <c r="C78" s="179"/>
      <c r="E78" s="407"/>
      <c r="I78" s="179"/>
      <c r="K78" s="407"/>
    </row>
    <row r="79" spans="3:11" ht="12.75">
      <c r="C79" s="179"/>
      <c r="E79" s="407"/>
      <c r="I79" s="179"/>
      <c r="K79" s="407"/>
    </row>
    <row r="80" spans="3:11" ht="12.75">
      <c r="C80" s="179"/>
      <c r="E80" s="407"/>
      <c r="I80" s="179"/>
      <c r="K80" s="407"/>
    </row>
    <row r="81" spans="2:10" ht="12.75">
      <c r="B81" s="179"/>
      <c r="D81" s="407"/>
      <c r="H81" s="179"/>
      <c r="J81" s="407"/>
    </row>
    <row r="82" spans="2:10" ht="12.75">
      <c r="B82" s="179"/>
      <c r="D82" s="407"/>
      <c r="H82" s="179"/>
      <c r="J82" s="407"/>
    </row>
    <row r="83" spans="2:10" ht="12.75">
      <c r="B83" s="179"/>
      <c r="D83" s="407"/>
      <c r="H83" s="179"/>
      <c r="J83" s="407"/>
    </row>
    <row r="84" spans="2:10" ht="12.75">
      <c r="B84" s="179"/>
      <c r="D84" s="407"/>
      <c r="H84" s="179"/>
      <c r="J84" s="407"/>
    </row>
    <row r="85" spans="2:10" ht="12.75">
      <c r="B85" s="179"/>
      <c r="D85" s="407"/>
      <c r="H85" s="179"/>
      <c r="J85" s="407"/>
    </row>
    <row r="86" spans="2:10" ht="12.75">
      <c r="B86" s="179"/>
      <c r="D86" s="407"/>
      <c r="H86" s="179"/>
      <c r="J86" s="407"/>
    </row>
    <row r="87" spans="2:10" ht="12.75">
      <c r="B87" s="179"/>
      <c r="D87" s="407"/>
      <c r="H87" s="179"/>
      <c r="J87" s="407"/>
    </row>
    <row r="88" spans="2:10" ht="12.75">
      <c r="B88" s="179"/>
      <c r="D88" s="407"/>
      <c r="H88" s="179"/>
      <c r="J88" s="407"/>
    </row>
    <row r="89" spans="2:10" ht="12.75">
      <c r="B89" s="179"/>
      <c r="D89" s="407"/>
      <c r="H89" s="179"/>
      <c r="J89" s="407"/>
    </row>
    <row r="90" spans="2:10" ht="12.75">
      <c r="B90" s="179"/>
      <c r="D90" s="407"/>
      <c r="H90" s="179"/>
      <c r="J90" s="407"/>
    </row>
    <row r="91" spans="2:10" ht="12.75">
      <c r="B91" s="179"/>
      <c r="D91" s="407"/>
      <c r="H91" s="179"/>
      <c r="J91" s="407"/>
    </row>
    <row r="92" spans="2:10" ht="12.75">
      <c r="B92" s="179"/>
      <c r="D92" s="407"/>
      <c r="H92" s="179"/>
      <c r="J92" s="407"/>
    </row>
    <row r="93" spans="2:10" ht="12.75">
      <c r="B93" s="179"/>
      <c r="D93" s="407"/>
      <c r="H93" s="179"/>
      <c r="J93" s="407"/>
    </row>
    <row r="94" spans="2:10" ht="12.75">
      <c r="B94" s="179"/>
      <c r="D94" s="407"/>
      <c r="H94" s="179"/>
      <c r="J94" s="407"/>
    </row>
    <row r="95" spans="2:10" ht="12.75">
      <c r="B95" s="179"/>
      <c r="D95" s="407"/>
      <c r="H95" s="179"/>
      <c r="J95" s="407"/>
    </row>
    <row r="96" spans="2:10" ht="12.75">
      <c r="B96" s="179"/>
      <c r="D96" s="407"/>
      <c r="H96" s="179"/>
      <c r="J96" s="407"/>
    </row>
    <row r="97" spans="2:10" ht="12.75">
      <c r="B97" s="179"/>
      <c r="D97" s="407"/>
      <c r="H97" s="179"/>
      <c r="J97" s="407"/>
    </row>
    <row r="98" spans="2:10" ht="12.75">
      <c r="B98" s="179"/>
      <c r="D98" s="407"/>
      <c r="H98" s="179"/>
      <c r="J98" s="407"/>
    </row>
    <row r="99" spans="2:10" ht="12.75">
      <c r="B99" s="179"/>
      <c r="D99" s="407"/>
      <c r="H99" s="179"/>
      <c r="J99" s="407"/>
    </row>
    <row r="100" spans="2:10" ht="12.75">
      <c r="B100" s="179"/>
      <c r="D100" s="407"/>
      <c r="H100" s="179"/>
      <c r="J100" s="407"/>
    </row>
    <row r="101" spans="2:8" ht="12.75">
      <c r="B101" s="179"/>
      <c r="H101" s="179"/>
    </row>
    <row r="102" spans="2:8" ht="12.75">
      <c r="B102" s="179"/>
      <c r="H102" s="179"/>
    </row>
    <row r="103" spans="2:8" ht="12.75">
      <c r="B103" s="179"/>
      <c r="H103" s="179"/>
    </row>
    <row r="104" spans="2:8" ht="12.75">
      <c r="B104" s="179"/>
      <c r="H104" s="179"/>
    </row>
    <row r="105" spans="2:8" ht="12.75">
      <c r="B105" s="179"/>
      <c r="H105" s="179"/>
    </row>
    <row r="106" spans="2:8" ht="12.75">
      <c r="B106" s="179"/>
      <c r="H106" s="179"/>
    </row>
    <row r="107" spans="2:8" ht="12.75">
      <c r="B107" s="179"/>
      <c r="H107" s="179"/>
    </row>
    <row r="108" spans="2:8" ht="12.75">
      <c r="B108" s="179"/>
      <c r="H108" s="179"/>
    </row>
    <row r="109" spans="2:8" ht="12.75">
      <c r="B109" s="179"/>
      <c r="H109" s="179"/>
    </row>
  </sheetData>
  <mergeCells count="2">
    <mergeCell ref="G4:L4"/>
    <mergeCell ref="G5:L5"/>
  </mergeCells>
  <printOptions/>
  <pageMargins left="0.74" right="0.24" top="1" bottom="0.18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Z245"/>
  <sheetViews>
    <sheetView workbookViewId="0" topLeftCell="H1">
      <selection activeCell="A6" sqref="A6"/>
    </sheetView>
  </sheetViews>
  <sheetFormatPr defaultColWidth="9.140625" defaultRowHeight="12.75"/>
  <cols>
    <col min="1" max="1" width="36.00390625" style="43" hidden="1" customWidth="1"/>
    <col min="2" max="3" width="11.421875" style="43" hidden="1" customWidth="1"/>
    <col min="4" max="4" width="10.57421875" style="43" hidden="1" customWidth="1"/>
    <col min="5" max="5" width="6.421875" style="43" hidden="1" customWidth="1"/>
    <col min="6" max="6" width="9.140625" style="43" hidden="1" customWidth="1"/>
    <col min="7" max="7" width="4.140625" style="43" hidden="1" customWidth="1"/>
    <col min="8" max="8" width="32.421875" style="43" customWidth="1"/>
    <col min="9" max="9" width="10.8515625" style="43" customWidth="1"/>
    <col min="10" max="10" width="10.57421875" style="43" customWidth="1"/>
    <col min="11" max="11" width="8.140625" style="43" customWidth="1"/>
    <col min="12" max="12" width="7.421875" style="43" customWidth="1"/>
    <col min="13" max="13" width="9.00390625" style="43" customWidth="1"/>
    <col min="14" max="14" width="9.7109375" style="43" customWidth="1"/>
    <col min="15" max="104" width="11.421875" style="0" customWidth="1"/>
    <col min="105" max="16384" width="11.421875" style="43" customWidth="1"/>
  </cols>
  <sheetData>
    <row r="1" spans="1:14" ht="17.25" customHeight="1">
      <c r="A1" s="32" t="s">
        <v>172</v>
      </c>
      <c r="B1" s="32"/>
      <c r="C1" s="408"/>
      <c r="D1" s="32"/>
      <c r="E1" s="32"/>
      <c r="F1" s="408"/>
      <c r="G1" s="43" t="s">
        <v>455</v>
      </c>
      <c r="H1" s="32" t="s">
        <v>172</v>
      </c>
      <c r="I1" s="32"/>
      <c r="J1" s="408"/>
      <c r="K1" s="32"/>
      <c r="L1" s="32"/>
      <c r="M1" s="408"/>
      <c r="N1" s="43" t="s">
        <v>456</v>
      </c>
    </row>
    <row r="2" spans="1:14" ht="12.75">
      <c r="A2" s="32"/>
      <c r="B2" s="32"/>
      <c r="C2" s="408"/>
      <c r="D2" s="32"/>
      <c r="E2" s="32"/>
      <c r="F2" s="408"/>
      <c r="G2" s="2"/>
      <c r="H2" s="32"/>
      <c r="I2" s="32"/>
      <c r="J2" s="408"/>
      <c r="K2" s="32"/>
      <c r="L2" s="32"/>
      <c r="M2" s="408"/>
      <c r="N2" s="2"/>
    </row>
    <row r="3" spans="1:14" ht="18.75" customHeight="1">
      <c r="A3" s="155" t="s">
        <v>457</v>
      </c>
      <c r="B3" s="408"/>
      <c r="C3" s="408"/>
      <c r="D3" s="408"/>
      <c r="E3" s="408"/>
      <c r="F3" s="408"/>
      <c r="G3" s="2"/>
      <c r="H3" s="155" t="s">
        <v>457</v>
      </c>
      <c r="I3" s="408"/>
      <c r="J3" s="408"/>
      <c r="K3" s="408"/>
      <c r="L3" s="408"/>
      <c r="M3" s="408"/>
      <c r="N3" s="2"/>
    </row>
    <row r="4" spans="1:14" ht="19.5" customHeight="1">
      <c r="A4" s="155" t="s">
        <v>228</v>
      </c>
      <c r="B4" s="408"/>
      <c r="C4" s="408"/>
      <c r="D4" s="408"/>
      <c r="E4" s="408"/>
      <c r="F4" s="408"/>
      <c r="G4" s="2"/>
      <c r="H4" s="155" t="s">
        <v>228</v>
      </c>
      <c r="I4" s="408"/>
      <c r="J4" s="408"/>
      <c r="K4" s="408"/>
      <c r="L4" s="408"/>
      <c r="M4" s="408"/>
      <c r="N4" s="2"/>
    </row>
    <row r="5" spans="1:14" ht="11.25" customHeight="1">
      <c r="A5" s="2"/>
      <c r="B5" s="2"/>
      <c r="C5" s="2"/>
      <c r="D5" s="268"/>
      <c r="E5" s="36"/>
      <c r="F5" s="2"/>
      <c r="G5" s="3" t="s">
        <v>178</v>
      </c>
      <c r="H5" s="2"/>
      <c r="I5" s="2"/>
      <c r="J5" s="2"/>
      <c r="K5" s="268"/>
      <c r="L5" s="36"/>
      <c r="M5" s="2"/>
      <c r="N5" s="3" t="s">
        <v>458</v>
      </c>
    </row>
    <row r="6" spans="1:14" ht="79.5" customHeight="1">
      <c r="A6" s="5" t="s">
        <v>2</v>
      </c>
      <c r="B6" s="5" t="s">
        <v>49</v>
      </c>
      <c r="C6" s="5" t="s">
        <v>179</v>
      </c>
      <c r="D6" s="5" t="s">
        <v>50</v>
      </c>
      <c r="E6" s="5" t="s">
        <v>180</v>
      </c>
      <c r="F6" s="5" t="s">
        <v>181</v>
      </c>
      <c r="G6" s="5" t="s">
        <v>6</v>
      </c>
      <c r="H6" s="5" t="s">
        <v>2</v>
      </c>
      <c r="I6" s="5" t="s">
        <v>49</v>
      </c>
      <c r="J6" s="5" t="s">
        <v>179</v>
      </c>
      <c r="K6" s="5" t="s">
        <v>50</v>
      </c>
      <c r="L6" s="5" t="s">
        <v>180</v>
      </c>
      <c r="M6" s="5" t="s">
        <v>181</v>
      </c>
      <c r="N6" s="5" t="s">
        <v>6</v>
      </c>
    </row>
    <row r="7" spans="1:14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409">
        <v>7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88">
        <v>7</v>
      </c>
    </row>
    <row r="8" spans="1:104" ht="38.25">
      <c r="A8" s="410" t="s">
        <v>459</v>
      </c>
      <c r="B8" s="411">
        <f>B9+B12</f>
        <v>39782537</v>
      </c>
      <c r="C8" s="411">
        <f>C9+C12</f>
        <v>6755301</v>
      </c>
      <c r="D8" s="411">
        <f>D9+D12</f>
        <v>1666581</v>
      </c>
      <c r="E8" s="412">
        <f aca="true" t="shared" si="0" ref="E8:F23">IF(ISERROR(D8/B8)," ",(D8/B8))</f>
        <v>0.04189227549766371</v>
      </c>
      <c r="F8" s="412">
        <f t="shared" si="0"/>
        <v>6.201392876152182E-09</v>
      </c>
      <c r="G8" s="411">
        <f>D8-'[9]Marts'!D8</f>
        <v>205673</v>
      </c>
      <c r="H8" s="410" t="s">
        <v>459</v>
      </c>
      <c r="I8" s="214">
        <f>I9+I12</f>
        <v>39782</v>
      </c>
      <c r="J8" s="214">
        <f>J9+J12</f>
        <v>6756</v>
      </c>
      <c r="K8" s="214">
        <f>K9+K12</f>
        <v>1667</v>
      </c>
      <c r="L8" s="413">
        <f aca="true" t="shared" si="1" ref="L8:L32">IF(ISERROR(ROUND(K8,0)/ROUND(I8,0))," ",(ROUND(K8,)/ROUND(I8,)))</f>
        <v>0.04190337338494796</v>
      </c>
      <c r="M8" s="414">
        <f>IF(ISERROR(ROUND(K8,0)/ROUND(J8,0))," ",(ROUND(K8,)/ROUND(J8,)))</f>
        <v>0.24674363528715215</v>
      </c>
      <c r="N8" s="411">
        <f>K8-'[9]Marts'!K8</f>
        <v>207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</row>
    <row r="9" spans="1:104" s="417" customFormat="1" ht="15" customHeight="1">
      <c r="A9" s="415" t="s">
        <v>377</v>
      </c>
      <c r="B9" s="411">
        <f>SUM(B10:B11)</f>
        <v>31643057</v>
      </c>
      <c r="C9" s="411">
        <f>SUM(C10:C11)</f>
        <v>5700667</v>
      </c>
      <c r="D9" s="411">
        <f>SUM(D10:D11)</f>
        <v>869769</v>
      </c>
      <c r="E9" s="412">
        <f t="shared" si="0"/>
        <v>0.027486882825512086</v>
      </c>
      <c r="F9" s="412">
        <f aca="true" t="shared" si="2" ref="F9:F72">IF(ISERROR(D9/C9)," ",(D9/C9))</f>
        <v>0.15257319889058596</v>
      </c>
      <c r="G9" s="411">
        <f>D9-'[9]Marts'!D9</f>
        <v>119864</v>
      </c>
      <c r="H9" s="415" t="s">
        <v>377</v>
      </c>
      <c r="I9" s="411">
        <f>SUM(I10:I11)</f>
        <v>31643</v>
      </c>
      <c r="J9" s="411">
        <f>SUM(J10:J11)</f>
        <v>5701</v>
      </c>
      <c r="K9" s="411">
        <f>SUM(K10:K11)</f>
        <v>870</v>
      </c>
      <c r="L9" s="413">
        <f t="shared" si="1"/>
        <v>0.027494232531681574</v>
      </c>
      <c r="M9" s="416">
        <f>IF(ISERROR(ROUND(K9,0)/ROUND(J9,0))," ",(ROUND(K9,)/ROUND(J9,)))</f>
        <v>0.15260480617435537</v>
      </c>
      <c r="N9" s="411">
        <f>K9-'[9]Marts'!K9</f>
        <v>121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</row>
    <row r="10" spans="1:104" s="191" customFormat="1" ht="13.5" customHeight="1">
      <c r="A10" s="216" t="s">
        <v>185</v>
      </c>
      <c r="B10" s="7">
        <f>SUM(B17,B22,B28,B35,B42,B47,B59,B66,B73,B80,B85)</f>
        <v>24233753</v>
      </c>
      <c r="C10" s="7">
        <f>SUM(C17,C22,C28,C35,C42,C47,C59,C66,C73,C80,C85)</f>
        <v>3948865</v>
      </c>
      <c r="D10" s="7">
        <f>SUM(D17,D22,D28,D35,D42,D47,D59,D66,D73,D80,D85)</f>
        <v>869769</v>
      </c>
      <c r="E10" s="418">
        <f t="shared" si="0"/>
        <v>0.035890808988603626</v>
      </c>
      <c r="F10" s="418">
        <f t="shared" si="2"/>
        <v>0.22025797286055612</v>
      </c>
      <c r="G10" s="411">
        <f>D10-'[9]Marts'!D10</f>
        <v>119864</v>
      </c>
      <c r="H10" s="216" t="s">
        <v>185</v>
      </c>
      <c r="I10" s="167">
        <f>SUM(I17,I22,I28,I35,I42,I47,I59,I66,I73,I80,I85)</f>
        <v>24234</v>
      </c>
      <c r="J10" s="167">
        <f>SUM(J17,J22,J28,J35,J42,J47,J59,J66,J73,J80,J85)</f>
        <v>3949</v>
      </c>
      <c r="K10" s="167">
        <f>SUM(K17,K22,K28,K35,K42,K47,K59,K66,K73,K80,K85)</f>
        <v>870</v>
      </c>
      <c r="L10" s="419">
        <f t="shared" si="1"/>
        <v>0.03589997524139638</v>
      </c>
      <c r="M10" s="163">
        <f>IF(ISERROR(ROUND(K10,0)/ROUND(J10,0))," ",(ROUND(K10,)/ROUND(J10,)))</f>
        <v>0.2203089389718916</v>
      </c>
      <c r="N10" s="161">
        <f>K10-'[9]Marts'!K10</f>
        <v>121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</row>
    <row r="11" spans="1:104" s="191" customFormat="1" ht="14.25" customHeight="1">
      <c r="A11" s="216" t="s">
        <v>186</v>
      </c>
      <c r="B11" s="7">
        <f>SUM(B23,B29,B36,B48,B54,B60,B67,B74,)</f>
        <v>7409304</v>
      </c>
      <c r="C11" s="7">
        <f>SUM(C23,C29,C36,C48,C54,C60,C67,C74,)</f>
        <v>1751802</v>
      </c>
      <c r="D11" s="7">
        <f>SUM(D23,D29,D36,D48,D54,D60,D67,D74,)</f>
        <v>0</v>
      </c>
      <c r="E11" s="418">
        <f t="shared" si="0"/>
        <v>0</v>
      </c>
      <c r="F11" s="418">
        <f t="shared" si="2"/>
        <v>0</v>
      </c>
      <c r="G11" s="411">
        <f>D11-'[9]Marts'!D11</f>
        <v>0</v>
      </c>
      <c r="H11" s="216" t="s">
        <v>186</v>
      </c>
      <c r="I11" s="167">
        <f>SUM(I23,I29,I36,I48,I54,I60,I67,I74,)</f>
        <v>7409</v>
      </c>
      <c r="J11" s="167">
        <f>SUM(J23,J29,J36,J48,J54,J60,J67,J74,)</f>
        <v>1752</v>
      </c>
      <c r="K11" s="167">
        <f>SUM(K23,K29,K36,K48,K54,K60,K67,K74,)</f>
        <v>0</v>
      </c>
      <c r="L11" s="419">
        <f t="shared" si="1"/>
        <v>0</v>
      </c>
      <c r="M11" s="163"/>
      <c r="N11" s="161">
        <f>K11-'[9]Marts'!K11</f>
        <v>0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</row>
    <row r="12" spans="1:104" s="54" customFormat="1" ht="14.25" customHeight="1">
      <c r="A12" s="415" t="s">
        <v>460</v>
      </c>
      <c r="B12" s="411">
        <f>SUM(B13:B14)</f>
        <v>8139480</v>
      </c>
      <c r="C12" s="411">
        <f>SUM(C13:C14)</f>
        <v>1054634</v>
      </c>
      <c r="D12" s="411">
        <f>SUM(D13:D14)</f>
        <v>796812</v>
      </c>
      <c r="E12" s="412">
        <f t="shared" si="0"/>
        <v>0.097894705804302</v>
      </c>
      <c r="F12" s="412">
        <f t="shared" si="2"/>
        <v>0.7555341473914173</v>
      </c>
      <c r="G12" s="411">
        <f>D12-'[9]Marts'!D12</f>
        <v>85809</v>
      </c>
      <c r="H12" s="415" t="s">
        <v>460</v>
      </c>
      <c r="I12" s="214">
        <f>SUM(I13:I14)</f>
        <v>8139</v>
      </c>
      <c r="J12" s="214">
        <f>SUM(J13:J14)</f>
        <v>1055</v>
      </c>
      <c r="K12" s="214">
        <f>SUM(K13:K14)</f>
        <v>797</v>
      </c>
      <c r="L12" s="413">
        <f t="shared" si="1"/>
        <v>0.09792357783511488</v>
      </c>
      <c r="M12" s="414">
        <f aca="true" t="shared" si="3" ref="M12:M22">IF(ISERROR(ROUND(K12,0)/ROUND(J12,0))," ",(ROUND(K12,)/ROUND(J12,)))</f>
        <v>0.7554502369668247</v>
      </c>
      <c r="N12" s="379">
        <f>K12-'[9]Marts'!K12</f>
        <v>86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</row>
    <row r="13" spans="1:104" s="191" customFormat="1" ht="13.5" customHeight="1">
      <c r="A13" s="216" t="s">
        <v>185</v>
      </c>
      <c r="B13" s="7">
        <f>B19+B25+B31+B38+B44+B50+B62+B69+B76+B82</f>
        <v>5519205</v>
      </c>
      <c r="C13" s="7">
        <f>C19+C25+C31+C38+C44+C50+C62+C69+C76+C82</f>
        <v>595634</v>
      </c>
      <c r="D13" s="7">
        <f>D19+D25+D31+D38+D44+D50+D62+D69+D76+D82</f>
        <v>471864</v>
      </c>
      <c r="E13" s="418">
        <f t="shared" si="0"/>
        <v>0.08549492182297994</v>
      </c>
      <c r="F13" s="418">
        <f t="shared" si="2"/>
        <v>0.792204608870548</v>
      </c>
      <c r="G13" s="411">
        <f>D13-'[9]Marts'!D13</f>
        <v>33697</v>
      </c>
      <c r="H13" s="216" t="s">
        <v>185</v>
      </c>
      <c r="I13" s="167">
        <f>I19+I25+I31+I38+I44+I50+I62+I69+I76+I82</f>
        <v>5519</v>
      </c>
      <c r="J13" s="167">
        <f>J19+J25+J31+J38+J44+J50+J62+J69+J76+J82</f>
        <v>596</v>
      </c>
      <c r="K13" s="167">
        <f>K19+K25+K31+K38+K44+K50+K62+K69+K76+K82</f>
        <v>472</v>
      </c>
      <c r="L13" s="419">
        <f t="shared" si="1"/>
        <v>0.08552273962674398</v>
      </c>
      <c r="M13" s="419">
        <f t="shared" si="3"/>
        <v>0.7919463087248322</v>
      </c>
      <c r="N13" s="161">
        <f>K13-'[9]Marts'!K13</f>
        <v>34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</row>
    <row r="14" spans="1:104" s="191" customFormat="1" ht="14.25" customHeight="1">
      <c r="A14" s="216" t="s">
        <v>186</v>
      </c>
      <c r="B14" s="7">
        <f>B32+B39+B51+B56+B63+B70+B77</f>
        <v>2620275</v>
      </c>
      <c r="C14" s="7">
        <f>C32+C39+C51+C56+C63+C70+C77</f>
        <v>459000</v>
      </c>
      <c r="D14" s="7">
        <f>D32+D39+D51+D56+D63+D70+D77</f>
        <v>324948</v>
      </c>
      <c r="E14" s="418">
        <f t="shared" si="0"/>
        <v>0.1240129375733463</v>
      </c>
      <c r="F14" s="418">
        <f t="shared" si="2"/>
        <v>0.7079477124183007</v>
      </c>
      <c r="G14" s="411">
        <f>D14-'[9]Marts'!D14</f>
        <v>52112</v>
      </c>
      <c r="H14" s="216" t="s">
        <v>186</v>
      </c>
      <c r="I14" s="161">
        <f>I32+I39+I51+I56+I63+I70+I77</f>
        <v>2620</v>
      </c>
      <c r="J14" s="161">
        <f>J32+J39+J51+J56+J63+J70+J77</f>
        <v>459</v>
      </c>
      <c r="K14" s="161">
        <f>K32+K39+K51+K56+K63+K70+K77</f>
        <v>325</v>
      </c>
      <c r="L14" s="419">
        <f t="shared" si="1"/>
        <v>0.12404580152671756</v>
      </c>
      <c r="M14" s="419">
        <f t="shared" si="3"/>
        <v>0.7080610021786492</v>
      </c>
      <c r="N14" s="161">
        <f>K14-'[9]Marts'!K14</f>
        <v>52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</row>
    <row r="15" spans="1:104" s="61" customFormat="1" ht="13.5" customHeight="1">
      <c r="A15" s="68" t="s">
        <v>190</v>
      </c>
      <c r="B15" s="167">
        <f>B16+B18</f>
        <v>158127</v>
      </c>
      <c r="C15" s="167">
        <f>C16+C18</f>
        <v>88954</v>
      </c>
      <c r="D15" s="167">
        <f>D16+D18</f>
        <v>43564</v>
      </c>
      <c r="E15" s="420">
        <f t="shared" si="0"/>
        <v>0.27550007272635285</v>
      </c>
      <c r="F15" s="420">
        <f t="shared" si="2"/>
        <v>0.48973626818355553</v>
      </c>
      <c r="G15" s="411">
        <f>D15-'[9]Marts'!D15</f>
        <v>15270</v>
      </c>
      <c r="H15" s="68" t="s">
        <v>190</v>
      </c>
      <c r="I15" s="167">
        <f>I16+I18</f>
        <v>158</v>
      </c>
      <c r="J15" s="167">
        <f>J16+J18</f>
        <v>89</v>
      </c>
      <c r="K15" s="167">
        <f>K16+K18</f>
        <v>44</v>
      </c>
      <c r="L15" s="419">
        <f t="shared" si="1"/>
        <v>0.27848101265822783</v>
      </c>
      <c r="M15" s="419">
        <f t="shared" si="3"/>
        <v>0.4943820224719101</v>
      </c>
      <c r="N15" s="167">
        <f>K15-'[9]Marts'!K15</f>
        <v>16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</row>
    <row r="16" spans="1:104" s="191" customFormat="1" ht="12.75">
      <c r="A16" s="421" t="s">
        <v>461</v>
      </c>
      <c r="B16" s="422">
        <f>B17</f>
        <v>146740</v>
      </c>
      <c r="C16" s="422">
        <f>C17</f>
        <v>85158</v>
      </c>
      <c r="D16" s="422">
        <f>D17</f>
        <v>39980</v>
      </c>
      <c r="E16" s="418">
        <f t="shared" si="0"/>
        <v>0.27245468175003407</v>
      </c>
      <c r="F16" s="418">
        <f t="shared" si="2"/>
        <v>0.46948026022217526</v>
      </c>
      <c r="G16" s="411">
        <f>D16-'[9]Marts'!D16</f>
        <v>13578</v>
      </c>
      <c r="H16" s="421" t="s">
        <v>461</v>
      </c>
      <c r="I16" s="422">
        <f>I17</f>
        <v>147</v>
      </c>
      <c r="J16" s="422">
        <f>J17</f>
        <v>85</v>
      </c>
      <c r="K16" s="422">
        <f>K17</f>
        <v>40</v>
      </c>
      <c r="L16" s="423">
        <f t="shared" si="1"/>
        <v>0.272108843537415</v>
      </c>
      <c r="M16" s="423">
        <f t="shared" si="3"/>
        <v>0.47058823529411764</v>
      </c>
      <c r="N16" s="422">
        <f>K16-'[9]Marts'!K16</f>
        <v>14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</row>
    <row r="17" spans="1:104" s="54" customFormat="1" ht="12.75">
      <c r="A17" s="115" t="s">
        <v>185</v>
      </c>
      <c r="B17" s="169">
        <v>146740</v>
      </c>
      <c r="C17" s="169">
        <v>85158</v>
      </c>
      <c r="D17" s="169">
        <v>39980</v>
      </c>
      <c r="E17" s="418">
        <f t="shared" si="0"/>
        <v>0.27245468175003407</v>
      </c>
      <c r="F17" s="418">
        <f t="shared" si="2"/>
        <v>0.46948026022217526</v>
      </c>
      <c r="G17" s="411">
        <f>D17-'[9]Marts'!D17</f>
        <v>13578</v>
      </c>
      <c r="H17" s="115" t="s">
        <v>185</v>
      </c>
      <c r="I17" s="169">
        <f>ROUND(B17/1000,0)</f>
        <v>147</v>
      </c>
      <c r="J17" s="169">
        <f>ROUND(C17/1000,0)</f>
        <v>85</v>
      </c>
      <c r="K17" s="169">
        <f>ROUND(D17/1000,0)</f>
        <v>40</v>
      </c>
      <c r="L17" s="424">
        <f t="shared" si="1"/>
        <v>0.272108843537415</v>
      </c>
      <c r="M17" s="424">
        <f t="shared" si="3"/>
        <v>0.47058823529411764</v>
      </c>
      <c r="N17" s="169">
        <f>K17-'[9]Marts'!K17</f>
        <v>14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04" s="191" customFormat="1" ht="12.75">
      <c r="A18" s="421" t="s">
        <v>462</v>
      </c>
      <c r="B18" s="422">
        <f>B19</f>
        <v>11387</v>
      </c>
      <c r="C18" s="422">
        <f>C19</f>
        <v>3796</v>
      </c>
      <c r="D18" s="422">
        <f>D19</f>
        <v>3584</v>
      </c>
      <c r="E18" s="418">
        <f t="shared" si="0"/>
        <v>0.31474488451743216</v>
      </c>
      <c r="F18" s="418">
        <f t="shared" si="2"/>
        <v>0.9441517386722866</v>
      </c>
      <c r="G18" s="411">
        <f>D18-'[9]Marts'!D18</f>
        <v>1692</v>
      </c>
      <c r="H18" s="421" t="s">
        <v>462</v>
      </c>
      <c r="I18" s="422">
        <f>I19</f>
        <v>11</v>
      </c>
      <c r="J18" s="422">
        <f>J19</f>
        <v>4</v>
      </c>
      <c r="K18" s="422">
        <f>K19</f>
        <v>4</v>
      </c>
      <c r="L18" s="423">
        <f t="shared" si="1"/>
        <v>0.36363636363636365</v>
      </c>
      <c r="M18" s="423">
        <f t="shared" si="3"/>
        <v>1</v>
      </c>
      <c r="N18" s="422">
        <f>K18-'[9]Marts'!K18</f>
        <v>2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</row>
    <row r="19" spans="1:104" s="54" customFormat="1" ht="12.75">
      <c r="A19" s="115" t="s">
        <v>185</v>
      </c>
      <c r="B19" s="169">
        <v>11387</v>
      </c>
      <c r="C19" s="169">
        <v>3796</v>
      </c>
      <c r="D19" s="169">
        <v>3584</v>
      </c>
      <c r="E19" s="418">
        <f t="shared" si="0"/>
        <v>0.31474488451743216</v>
      </c>
      <c r="F19" s="418">
        <f t="shared" si="2"/>
        <v>0.9441517386722866</v>
      </c>
      <c r="G19" s="411">
        <f>D19-'[9]Marts'!D19</f>
        <v>1692</v>
      </c>
      <c r="H19" s="115" t="s">
        <v>185</v>
      </c>
      <c r="I19" s="169">
        <f>ROUND(B19/1000,0)</f>
        <v>11</v>
      </c>
      <c r="J19" s="169">
        <f>ROUND(C19/1000,0)</f>
        <v>4</v>
      </c>
      <c r="K19" s="169">
        <f>ROUND(D19/1000,0)</f>
        <v>4</v>
      </c>
      <c r="L19" s="424">
        <f t="shared" si="1"/>
        <v>0.36363636363636365</v>
      </c>
      <c r="M19" s="424">
        <f t="shared" si="3"/>
        <v>1</v>
      </c>
      <c r="N19" s="169">
        <f>K19-'[9]Marts'!K19</f>
        <v>2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</row>
    <row r="20" spans="1:104" s="61" customFormat="1" ht="12.75">
      <c r="A20" s="68" t="s">
        <v>193</v>
      </c>
      <c r="B20" s="167">
        <f>B21+B24</f>
        <v>3204168</v>
      </c>
      <c r="C20" s="167">
        <f>C21+C24</f>
        <v>1432292</v>
      </c>
      <c r="D20" s="167">
        <f>D21+D24</f>
        <v>61850</v>
      </c>
      <c r="E20" s="420">
        <f t="shared" si="0"/>
        <v>0.019302982864818574</v>
      </c>
      <c r="F20" s="420">
        <f t="shared" si="2"/>
        <v>0.043182535404791764</v>
      </c>
      <c r="G20" s="411">
        <f>D20-'[9]Marts'!D20</f>
        <v>6995</v>
      </c>
      <c r="H20" s="68" t="s">
        <v>193</v>
      </c>
      <c r="I20" s="167">
        <f>I21+I24</f>
        <v>3204</v>
      </c>
      <c r="J20" s="167">
        <f>J21+J24</f>
        <v>1432</v>
      </c>
      <c r="K20" s="167">
        <f>K21+K24</f>
        <v>62</v>
      </c>
      <c r="L20" s="419">
        <f t="shared" si="1"/>
        <v>0.019350811485642945</v>
      </c>
      <c r="M20" s="419">
        <f t="shared" si="3"/>
        <v>0.04329608938547486</v>
      </c>
      <c r="N20" s="167">
        <f>K20-'[9]Marts'!K20</f>
        <v>8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</row>
    <row r="21" spans="1:104" s="191" customFormat="1" ht="12.75">
      <c r="A21" s="421" t="s">
        <v>461</v>
      </c>
      <c r="B21" s="422">
        <f>SUM(B22:B23)</f>
        <v>3144168</v>
      </c>
      <c r="C21" s="422">
        <f>SUM(C22:C23)</f>
        <v>1420292</v>
      </c>
      <c r="D21" s="422">
        <f>SUM(D22:D23)</f>
        <v>49850</v>
      </c>
      <c r="E21" s="418">
        <f t="shared" si="0"/>
        <v>0.01585475076395409</v>
      </c>
      <c r="F21" s="418">
        <f t="shared" si="2"/>
        <v>0.035098416381983424</v>
      </c>
      <c r="G21" s="411">
        <f>D21-'[9]Marts'!D21</f>
        <v>634</v>
      </c>
      <c r="H21" s="421" t="s">
        <v>461</v>
      </c>
      <c r="I21" s="422">
        <f>SUM(I22:I23)</f>
        <v>3144</v>
      </c>
      <c r="J21" s="422">
        <f>SUM(J22:J23)</f>
        <v>1420</v>
      </c>
      <c r="K21" s="422">
        <f>SUM(K22:K23)</f>
        <v>50</v>
      </c>
      <c r="L21" s="423">
        <f t="shared" si="1"/>
        <v>0.015903307888040712</v>
      </c>
      <c r="M21" s="423">
        <f t="shared" si="3"/>
        <v>0.035211267605633804</v>
      </c>
      <c r="N21" s="422">
        <f>K21-'[9]Marts'!K21</f>
        <v>1</v>
      </c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</row>
    <row r="22" spans="1:104" s="54" customFormat="1" ht="12.75">
      <c r="A22" s="115" t="s">
        <v>185</v>
      </c>
      <c r="B22" s="169">
        <v>1532168</v>
      </c>
      <c r="C22" s="169">
        <v>614292</v>
      </c>
      <c r="D22" s="169">
        <v>49850</v>
      </c>
      <c r="E22" s="418">
        <f t="shared" si="0"/>
        <v>0.032535596618647564</v>
      </c>
      <c r="F22" s="418">
        <f t="shared" si="2"/>
        <v>0.0811503324152032</v>
      </c>
      <c r="G22" s="411">
        <f>D22-'[9]Marts'!D22</f>
        <v>634</v>
      </c>
      <c r="H22" s="115" t="s">
        <v>185</v>
      </c>
      <c r="I22" s="169">
        <f aca="true" t="shared" si="4" ref="I22:K23">ROUND(B22/1000,0)</f>
        <v>1532</v>
      </c>
      <c r="J22" s="169">
        <f t="shared" si="4"/>
        <v>614</v>
      </c>
      <c r="K22" s="169">
        <f t="shared" si="4"/>
        <v>50</v>
      </c>
      <c r="L22" s="424">
        <f t="shared" si="1"/>
        <v>0.03263707571801567</v>
      </c>
      <c r="M22" s="424">
        <f t="shared" si="3"/>
        <v>0.08143322475570032</v>
      </c>
      <c r="N22" s="169">
        <f>K22-'[9]Marts'!K22</f>
        <v>1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s="54" customFormat="1" ht="12.75">
      <c r="A23" s="115" t="s">
        <v>186</v>
      </c>
      <c r="B23" s="169">
        <v>1612000</v>
      </c>
      <c r="C23" s="169">
        <v>806000</v>
      </c>
      <c r="D23" s="169">
        <v>0</v>
      </c>
      <c r="E23" s="418">
        <f t="shared" si="0"/>
        <v>0</v>
      </c>
      <c r="F23" s="418">
        <f t="shared" si="2"/>
        <v>0</v>
      </c>
      <c r="G23" s="411">
        <f>D23-'[9]Marts'!D23</f>
        <v>0</v>
      </c>
      <c r="H23" s="115" t="s">
        <v>186</v>
      </c>
      <c r="I23" s="169">
        <f t="shared" si="4"/>
        <v>1612</v>
      </c>
      <c r="J23" s="169">
        <f t="shared" si="4"/>
        <v>806</v>
      </c>
      <c r="K23" s="169">
        <f t="shared" si="4"/>
        <v>0</v>
      </c>
      <c r="L23" s="424">
        <f t="shared" si="1"/>
        <v>0</v>
      </c>
      <c r="M23" s="424"/>
      <c r="N23" s="169">
        <f>K23-'[9]Marts'!K23</f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</row>
    <row r="24" spans="1:104" s="191" customFormat="1" ht="12.75">
      <c r="A24" s="421" t="s">
        <v>462</v>
      </c>
      <c r="B24" s="422">
        <f>B25</f>
        <v>60000</v>
      </c>
      <c r="C24" s="422">
        <f>C25</f>
        <v>12000</v>
      </c>
      <c r="D24" s="422">
        <f>D25</f>
        <v>12000</v>
      </c>
      <c r="E24" s="418">
        <f aca="true" t="shared" si="5" ref="E24:E87">IF(ISERROR(D24/B24)," ",(D24/B24))</f>
        <v>0.2</v>
      </c>
      <c r="F24" s="418">
        <f t="shared" si="2"/>
        <v>1</v>
      </c>
      <c r="G24" s="411">
        <f>D24-'[9]Marts'!D24</f>
        <v>6361</v>
      </c>
      <c r="H24" s="421" t="s">
        <v>462</v>
      </c>
      <c r="I24" s="422">
        <f>I25</f>
        <v>60</v>
      </c>
      <c r="J24" s="422">
        <f>J25</f>
        <v>12</v>
      </c>
      <c r="K24" s="422">
        <f>K25</f>
        <v>12</v>
      </c>
      <c r="L24" s="423">
        <f t="shared" si="1"/>
        <v>0.2</v>
      </c>
      <c r="M24" s="423">
        <f>IF(ISERROR(ROUND(K24,0)/ROUND(J24,0))," ",(ROUND(K24,)/ROUND(J24,)))</f>
        <v>1</v>
      </c>
      <c r="N24" s="422">
        <f>K24-'[9]Marts'!K24</f>
        <v>7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</row>
    <row r="25" spans="1:104" s="54" customFormat="1" ht="12.75">
      <c r="A25" s="115" t="s">
        <v>185</v>
      </c>
      <c r="B25" s="169">
        <v>60000</v>
      </c>
      <c r="C25" s="169">
        <v>12000</v>
      </c>
      <c r="D25" s="169">
        <v>12000</v>
      </c>
      <c r="E25" s="418">
        <f t="shared" si="5"/>
        <v>0.2</v>
      </c>
      <c r="F25" s="418">
        <f t="shared" si="2"/>
        <v>1</v>
      </c>
      <c r="G25" s="411">
        <f>D25-'[9]Marts'!D25</f>
        <v>6361</v>
      </c>
      <c r="H25" s="115" t="s">
        <v>185</v>
      </c>
      <c r="I25" s="169">
        <f>ROUND(B25/1000,0)</f>
        <v>60</v>
      </c>
      <c r="J25" s="169">
        <f>ROUND(C25/1000,0)</f>
        <v>12</v>
      </c>
      <c r="K25" s="169">
        <f>ROUND(D25/1000,0)</f>
        <v>12</v>
      </c>
      <c r="L25" s="424">
        <f t="shared" si="1"/>
        <v>0.2</v>
      </c>
      <c r="M25" s="424">
        <f>IF(ISERROR(ROUND(K25,0)/ROUND(J25,0))," ",(ROUND(K25,)/ROUND(J25,)))</f>
        <v>1</v>
      </c>
      <c r="N25" s="169">
        <f>K25-'[9]Marts'!K25</f>
        <v>7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s="61" customFormat="1" ht="12.75">
      <c r="A26" s="68" t="s">
        <v>194</v>
      </c>
      <c r="B26" s="167">
        <f>B27+B30</f>
        <v>2477675</v>
      </c>
      <c r="C26" s="167">
        <f>C27+C30</f>
        <v>454803</v>
      </c>
      <c r="D26" s="167">
        <f>D27+D30</f>
        <v>157172</v>
      </c>
      <c r="E26" s="420">
        <f t="shared" si="5"/>
        <v>0.06343527702382273</v>
      </c>
      <c r="F26" s="420">
        <f t="shared" si="2"/>
        <v>0.34558259290286125</v>
      </c>
      <c r="G26" s="411">
        <f>D26-'[9]Marts'!D26</f>
        <v>6688</v>
      </c>
      <c r="H26" s="68" t="s">
        <v>194</v>
      </c>
      <c r="I26" s="167">
        <f>I27+I30</f>
        <v>2478</v>
      </c>
      <c r="J26" s="167">
        <f>J27+J30</f>
        <v>454</v>
      </c>
      <c r="K26" s="167">
        <f>K27+K30</f>
        <v>157</v>
      </c>
      <c r="L26" s="419">
        <f t="shared" si="1"/>
        <v>0.06335754640839386</v>
      </c>
      <c r="M26" s="419">
        <f>IF(ISERROR(ROUND(K26,0)/ROUND(J26,0))," ",(ROUND(K26,)/ROUND(J26,)))</f>
        <v>0.3458149779735683</v>
      </c>
      <c r="N26" s="167">
        <f>K26-'[9]Marts'!K26</f>
        <v>7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</row>
    <row r="27" spans="1:104" s="191" customFormat="1" ht="12.75">
      <c r="A27" s="421" t="s">
        <v>461</v>
      </c>
      <c r="B27" s="422">
        <f>SUM(B28:B29)</f>
        <v>2258675</v>
      </c>
      <c r="C27" s="422">
        <f>SUM(C28:C29)</f>
        <v>441803</v>
      </c>
      <c r="D27" s="422">
        <f>SUM(D28:D29)</f>
        <v>156750</v>
      </c>
      <c r="E27" s="418">
        <f t="shared" si="5"/>
        <v>0.0693990946019237</v>
      </c>
      <c r="F27" s="418">
        <f t="shared" si="2"/>
        <v>0.35479614217196354</v>
      </c>
      <c r="G27" s="411">
        <f>D27-'[9]Marts'!D27</f>
        <v>6266</v>
      </c>
      <c r="H27" s="421" t="s">
        <v>461</v>
      </c>
      <c r="I27" s="422">
        <f>SUM(I28:I29)</f>
        <v>2259</v>
      </c>
      <c r="J27" s="422">
        <f>SUM(J28:J29)</f>
        <v>441</v>
      </c>
      <c r="K27" s="422">
        <f>SUM(K28:K29)</f>
        <v>157</v>
      </c>
      <c r="L27" s="423">
        <f t="shared" si="1"/>
        <v>0.06949977866312528</v>
      </c>
      <c r="M27" s="175">
        <f>IF(ISERROR(ROUND(K27,0)/ROUND(J27,0))," ",(ROUND(K27,)/ROUND(J27,)))</f>
        <v>0.35600907029478457</v>
      </c>
      <c r="N27" s="422">
        <f>K27-'[9]Marts'!K27</f>
        <v>7</v>
      </c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</row>
    <row r="28" spans="1:104" s="54" customFormat="1" ht="12.75">
      <c r="A28" s="115" t="s">
        <v>185</v>
      </c>
      <c r="B28" s="169">
        <v>1201775</v>
      </c>
      <c r="C28" s="169">
        <v>362603</v>
      </c>
      <c r="D28" s="169">
        <v>156750</v>
      </c>
      <c r="E28" s="418">
        <f t="shared" si="5"/>
        <v>0.13043206923092926</v>
      </c>
      <c r="F28" s="418">
        <f t="shared" si="2"/>
        <v>0.432290962843661</v>
      </c>
      <c r="G28" s="411">
        <f>D28-'[9]Marts'!D28</f>
        <v>6266</v>
      </c>
      <c r="H28" s="115" t="s">
        <v>185</v>
      </c>
      <c r="I28" s="169">
        <f aca="true" t="shared" si="6" ref="I28:K29">ROUND(B28/1000,0)</f>
        <v>1202</v>
      </c>
      <c r="J28" s="169">
        <f>ROUND(C28/1000,0)-1</f>
        <v>362</v>
      </c>
      <c r="K28" s="169">
        <f t="shared" si="6"/>
        <v>157</v>
      </c>
      <c r="L28" s="424">
        <f t="shared" si="1"/>
        <v>0.13061564059900166</v>
      </c>
      <c r="M28" s="166">
        <f>IF(ISERROR(ROUND(K28,0)/ROUND(J28,0))," ",(ROUND(K28,)/ROUND(J28,)))</f>
        <v>0.43370165745856354</v>
      </c>
      <c r="N28" s="169">
        <f>K28-'[9]Marts'!K28</f>
        <v>7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54" customFormat="1" ht="12.75">
      <c r="A29" s="115" t="s">
        <v>186</v>
      </c>
      <c r="B29" s="169">
        <v>1056900</v>
      </c>
      <c r="C29" s="169">
        <v>79200</v>
      </c>
      <c r="D29" s="169">
        <v>0</v>
      </c>
      <c r="E29" s="418">
        <f t="shared" si="5"/>
        <v>0</v>
      </c>
      <c r="F29" s="418">
        <f t="shared" si="2"/>
        <v>0</v>
      </c>
      <c r="G29" s="411">
        <f>D29-'[9]Marts'!D29</f>
        <v>0</v>
      </c>
      <c r="H29" s="115" t="s">
        <v>186</v>
      </c>
      <c r="I29" s="169">
        <f t="shared" si="6"/>
        <v>1057</v>
      </c>
      <c r="J29" s="169">
        <f t="shared" si="6"/>
        <v>79</v>
      </c>
      <c r="K29" s="169">
        <f t="shared" si="6"/>
        <v>0</v>
      </c>
      <c r="L29" s="424">
        <f t="shared" si="1"/>
        <v>0</v>
      </c>
      <c r="M29" s="166"/>
      <c r="N29" s="169">
        <f>K29-'[9]Marts'!K29</f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91" customFormat="1" ht="12.75">
      <c r="A30" s="421" t="s">
        <v>462</v>
      </c>
      <c r="B30" s="422">
        <f>SUM(B31:B32)</f>
        <v>219000</v>
      </c>
      <c r="C30" s="422">
        <f>SUM(C31:C32)</f>
        <v>13000</v>
      </c>
      <c r="D30" s="422">
        <f>SUM(D31:D32)</f>
        <v>422</v>
      </c>
      <c r="E30" s="418">
        <f t="shared" si="5"/>
        <v>0.0019269406392694063</v>
      </c>
      <c r="F30" s="418">
        <f t="shared" si="2"/>
        <v>0.03246153846153846</v>
      </c>
      <c r="G30" s="411">
        <f>D30-'[9]Marts'!D30</f>
        <v>422</v>
      </c>
      <c r="H30" s="421" t="s">
        <v>462</v>
      </c>
      <c r="I30" s="422">
        <f>SUM(I31:I32)</f>
        <v>219</v>
      </c>
      <c r="J30" s="422">
        <f>SUM(J31:J32)</f>
        <v>13</v>
      </c>
      <c r="K30" s="422">
        <f>SUM(K31:K32)</f>
        <v>0</v>
      </c>
      <c r="L30" s="423">
        <f t="shared" si="1"/>
        <v>0</v>
      </c>
      <c r="M30" s="166"/>
      <c r="N30" s="422">
        <f>K30-'[9]Marts'!K30</f>
        <v>0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</row>
    <row r="31" spans="1:104" s="54" customFormat="1" ht="12.75">
      <c r="A31" s="115" t="s">
        <v>185</v>
      </c>
      <c r="B31" s="169">
        <v>39000</v>
      </c>
      <c r="C31" s="169">
        <v>13000</v>
      </c>
      <c r="D31" s="169">
        <v>422</v>
      </c>
      <c r="E31" s="418">
        <f t="shared" si="5"/>
        <v>0.01082051282051282</v>
      </c>
      <c r="F31" s="418">
        <f t="shared" si="2"/>
        <v>0.03246153846153846</v>
      </c>
      <c r="G31" s="411">
        <f>D31-'[9]Marts'!D31</f>
        <v>422</v>
      </c>
      <c r="H31" s="115" t="s">
        <v>185</v>
      </c>
      <c r="I31" s="169">
        <f aca="true" t="shared" si="7" ref="I31:K32">ROUND(B31/1000,0)</f>
        <v>39</v>
      </c>
      <c r="J31" s="169">
        <f t="shared" si="7"/>
        <v>13</v>
      </c>
      <c r="K31" s="169">
        <f t="shared" si="7"/>
        <v>0</v>
      </c>
      <c r="L31" s="424">
        <f t="shared" si="1"/>
        <v>0</v>
      </c>
      <c r="M31" s="166"/>
      <c r="N31" s="169">
        <f>K31-'[9]Marts'!K31</f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54" customFormat="1" ht="12.75">
      <c r="A32" s="115" t="s">
        <v>186</v>
      </c>
      <c r="B32" s="169">
        <v>180000</v>
      </c>
      <c r="C32" s="169">
        <v>0</v>
      </c>
      <c r="D32" s="169"/>
      <c r="E32" s="418">
        <f t="shared" si="5"/>
        <v>0</v>
      </c>
      <c r="F32" s="418" t="str">
        <f t="shared" si="2"/>
        <v> </v>
      </c>
      <c r="G32" s="411">
        <f>D32-'[9]Marts'!D32</f>
        <v>0</v>
      </c>
      <c r="H32" s="115" t="s">
        <v>186</v>
      </c>
      <c r="I32" s="169">
        <f t="shared" si="7"/>
        <v>180</v>
      </c>
      <c r="J32" s="169">
        <f t="shared" si="7"/>
        <v>0</v>
      </c>
      <c r="K32" s="169">
        <f t="shared" si="7"/>
        <v>0</v>
      </c>
      <c r="L32" s="424">
        <f t="shared" si="1"/>
        <v>0</v>
      </c>
      <c r="M32" s="166" t="str">
        <f>IF(ISERROR(ROUND(K32,0)/ROUND(J32,0))," ",(ROUND(K32,)/ROUND(J32,)))</f>
        <v> </v>
      </c>
      <c r="N32" s="169">
        <f>K32-'[9]Marts'!K32</f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61" customFormat="1" ht="12.75">
      <c r="A33" s="68" t="s">
        <v>195</v>
      </c>
      <c r="B33" s="167">
        <f>B34+B37</f>
        <v>2944018</v>
      </c>
      <c r="C33" s="167">
        <f>C34+C37</f>
        <v>234103</v>
      </c>
      <c r="D33" s="167">
        <f>D34+D37</f>
        <v>19228</v>
      </c>
      <c r="E33" s="420">
        <f t="shared" si="5"/>
        <v>0.006531210067329751</v>
      </c>
      <c r="F33" s="420">
        <f t="shared" si="2"/>
        <v>0.08213478682460285</v>
      </c>
      <c r="G33" s="411">
        <f>D33-'[9]Marts'!D33</f>
        <v>4930</v>
      </c>
      <c r="H33" s="68" t="s">
        <v>195</v>
      </c>
      <c r="I33" s="167">
        <f>I34+I37</f>
        <v>2944</v>
      </c>
      <c r="J33" s="167">
        <f>J34+J37</f>
        <v>234</v>
      </c>
      <c r="K33" s="167">
        <f>K34+K37</f>
        <v>19</v>
      </c>
      <c r="L33" s="419">
        <f>IF(ISERROR(ROUND(K33,0)/ROUND(I33,0))," ",(ROUND(K33,)/ROUND(I33,)))</f>
        <v>0.006453804347826087</v>
      </c>
      <c r="M33" s="419">
        <f>IF(ISERROR(ROUND(K33,0)/ROUND(J33,0))," ",(ROUND(K33,)/ROUND(J33,)))</f>
        <v>0.0811965811965812</v>
      </c>
      <c r="N33" s="167">
        <f>K33-'[9]Marts'!K33</f>
        <v>5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</row>
    <row r="34" spans="1:104" s="191" customFormat="1" ht="12.75">
      <c r="A34" s="421" t="s">
        <v>461</v>
      </c>
      <c r="B34" s="422">
        <f>SUM(B35:B36)</f>
        <v>2421983</v>
      </c>
      <c r="C34" s="422">
        <f>SUM(C35:C36)</f>
        <v>218846</v>
      </c>
      <c r="D34" s="422">
        <f>SUM(D35:D36)</f>
        <v>10086</v>
      </c>
      <c r="E34" s="418">
        <f t="shared" si="5"/>
        <v>0.0041643562320627355</v>
      </c>
      <c r="F34" s="418">
        <f t="shared" si="2"/>
        <v>0.04608720287325334</v>
      </c>
      <c r="G34" s="411">
        <f>D34-'[9]Marts'!D34</f>
        <v>0</v>
      </c>
      <c r="H34" s="421" t="s">
        <v>461</v>
      </c>
      <c r="I34" s="422">
        <f>SUM(I35:I36)</f>
        <v>2422</v>
      </c>
      <c r="J34" s="422">
        <f>SUM(J35:J36)</f>
        <v>219</v>
      </c>
      <c r="K34" s="422">
        <f>SUM(K35:K36)</f>
        <v>10</v>
      </c>
      <c r="L34" s="423">
        <f>IF(ISERROR(ROUND(K34,0)/ROUND(I34,0))," ",(ROUND(K34,)/ROUND(I34,)))</f>
        <v>0.004128819157720892</v>
      </c>
      <c r="M34" s="423">
        <f>IF(ISERROR(ROUND(K34,0)/ROUND(J34,0))," ",(ROUND(K34,)/ROUND(J34,)))</f>
        <v>0.045662100456621</v>
      </c>
      <c r="N34" s="422">
        <f>K34-'[9]Marts'!K34</f>
        <v>0</v>
      </c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</row>
    <row r="35" spans="1:104" s="54" customFormat="1" ht="12.75">
      <c r="A35" s="115" t="s">
        <v>185</v>
      </c>
      <c r="B35" s="169">
        <v>513003</v>
      </c>
      <c r="C35" s="169">
        <v>218846</v>
      </c>
      <c r="D35" s="169">
        <v>10086</v>
      </c>
      <c r="E35" s="418">
        <f t="shared" si="5"/>
        <v>0.019660703738574627</v>
      </c>
      <c r="F35" s="418">
        <f t="shared" si="2"/>
        <v>0.04608720287325334</v>
      </c>
      <c r="G35" s="411">
        <f>D35-'[9]Marts'!D35</f>
        <v>0</v>
      </c>
      <c r="H35" s="115" t="s">
        <v>185</v>
      </c>
      <c r="I35" s="169">
        <f aca="true" t="shared" si="8" ref="I35:K36">ROUND(B35/1000,0)</f>
        <v>513</v>
      </c>
      <c r="J35" s="169">
        <f t="shared" si="8"/>
        <v>219</v>
      </c>
      <c r="K35" s="169">
        <f t="shared" si="8"/>
        <v>10</v>
      </c>
      <c r="L35" s="424">
        <f>IF(ISERROR(ROUND(K35,0)/ROUND(I35,0))," ",(ROUND(K35,)/ROUND(I35,)))</f>
        <v>0.01949317738791423</v>
      </c>
      <c r="M35" s="424">
        <f>IF(ISERROR(ROUND(K35,0)/ROUND(J35,0))," ",(ROUND(K35,)/ROUND(J35,)))</f>
        <v>0.045662100456621</v>
      </c>
      <c r="N35" s="169">
        <f>K35-'[9]Marts'!K35</f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54" customFormat="1" ht="12.75">
      <c r="A36" s="115" t="s">
        <v>186</v>
      </c>
      <c r="B36" s="169">
        <v>1908980</v>
      </c>
      <c r="C36" s="169">
        <v>0</v>
      </c>
      <c r="D36" s="169">
        <v>0</v>
      </c>
      <c r="E36" s="418">
        <f t="shared" si="5"/>
        <v>0</v>
      </c>
      <c r="F36" s="418" t="str">
        <f t="shared" si="2"/>
        <v> </v>
      </c>
      <c r="G36" s="411">
        <f>D36-'[9]Marts'!D36</f>
        <v>0</v>
      </c>
      <c r="H36" s="115" t="s">
        <v>186</v>
      </c>
      <c r="I36" s="169">
        <f t="shared" si="8"/>
        <v>1909</v>
      </c>
      <c r="J36" s="169">
        <f t="shared" si="8"/>
        <v>0</v>
      </c>
      <c r="K36" s="169">
        <f t="shared" si="8"/>
        <v>0</v>
      </c>
      <c r="L36" s="424">
        <f>IF(ISERROR(ROUND(K36,0)/ROUND(I36,0))," ",(ROUND(K36,)/ROUND(I36,)))</f>
        <v>0</v>
      </c>
      <c r="M36" s="166"/>
      <c r="N36" s="169">
        <f>K36-'[9]Marts'!K36</f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91" customFormat="1" ht="12.75">
      <c r="A37" s="421" t="s">
        <v>462</v>
      </c>
      <c r="B37" s="422">
        <f>SUM(B38:B39)</f>
        <v>522035</v>
      </c>
      <c r="C37" s="422">
        <f>SUM(C38:C39)</f>
        <v>15257</v>
      </c>
      <c r="D37" s="422">
        <f>SUM(D38:D39)</f>
        <v>9142</v>
      </c>
      <c r="E37" s="418">
        <f t="shared" si="5"/>
        <v>0.017512235769632303</v>
      </c>
      <c r="F37" s="418">
        <f t="shared" si="2"/>
        <v>0.5992003670446352</v>
      </c>
      <c r="G37" s="411">
        <f>D37-'[9]Marts'!D37</f>
        <v>4930</v>
      </c>
      <c r="H37" s="421" t="s">
        <v>462</v>
      </c>
      <c r="I37" s="422">
        <f>SUM(I38:I39)</f>
        <v>522</v>
      </c>
      <c r="J37" s="422">
        <f>SUM(J38:J39)</f>
        <v>15</v>
      </c>
      <c r="K37" s="422">
        <f>SUM(K38:K39)</f>
        <v>9</v>
      </c>
      <c r="L37" s="423">
        <f>IF(ISERROR(ROUND(K37,0)/ROUND(I37,0))," ",(ROUND(K37,)/ROUND(I37,)))</f>
        <v>0.017241379310344827</v>
      </c>
      <c r="M37" s="175">
        <f>IF(ISERROR(ROUND(K37,0)/ROUND(J37,0))," ",(ROUND(K37,)/ROUND(J37,)))</f>
        <v>0.6</v>
      </c>
      <c r="N37" s="422">
        <f>K37-'[9]Marts'!K37</f>
        <v>5</v>
      </c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</row>
    <row r="38" spans="1:104" s="54" customFormat="1" ht="12.75">
      <c r="A38" s="115" t="s">
        <v>185</v>
      </c>
      <c r="B38" s="169">
        <v>44790</v>
      </c>
      <c r="C38" s="169">
        <v>15257</v>
      </c>
      <c r="D38" s="169">
        <v>9142</v>
      </c>
      <c r="E38" s="418">
        <f t="shared" si="5"/>
        <v>0.20410805983478456</v>
      </c>
      <c r="F38" s="418">
        <f t="shared" si="2"/>
        <v>0.5992003670446352</v>
      </c>
      <c r="G38" s="411">
        <f>D38-'[9]Marts'!D38</f>
        <v>4930</v>
      </c>
      <c r="H38" s="115" t="s">
        <v>185</v>
      </c>
      <c r="I38" s="169">
        <f aca="true" t="shared" si="9" ref="I38:K39">ROUND(B38/1000,0)</f>
        <v>45</v>
      </c>
      <c r="J38" s="169">
        <f t="shared" si="9"/>
        <v>15</v>
      </c>
      <c r="K38" s="169">
        <f t="shared" si="9"/>
        <v>9</v>
      </c>
      <c r="L38" s="424">
        <f aca="true" t="shared" si="10" ref="L38:L95">IF(ISERROR(ROUND(K38,0)/ROUND(I38,0))," ",(ROUND(K38,)/ROUND(I38,)))</f>
        <v>0.2</v>
      </c>
      <c r="M38" s="166">
        <f>IF(ISERROR(ROUND(K38,0)/ROUND(J38,0))," ",(ROUND(K38,)/ROUND(J38,)))</f>
        <v>0.6</v>
      </c>
      <c r="N38" s="169">
        <f>K38-'[9]Marts'!K38</f>
        <v>5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54" customFormat="1" ht="12.75">
      <c r="A39" s="115" t="s">
        <v>186</v>
      </c>
      <c r="B39" s="169">
        <v>477245</v>
      </c>
      <c r="C39" s="169">
        <v>0</v>
      </c>
      <c r="D39" s="169"/>
      <c r="E39" s="418">
        <f t="shared" si="5"/>
        <v>0</v>
      </c>
      <c r="F39" s="418" t="str">
        <f t="shared" si="2"/>
        <v> </v>
      </c>
      <c r="G39" s="411">
        <f>D39-'[9]Marts'!D39</f>
        <v>0</v>
      </c>
      <c r="H39" s="115" t="s">
        <v>186</v>
      </c>
      <c r="I39" s="169">
        <f t="shared" si="9"/>
        <v>477</v>
      </c>
      <c r="J39" s="169">
        <f t="shared" si="9"/>
        <v>0</v>
      </c>
      <c r="K39" s="169">
        <f t="shared" si="9"/>
        <v>0</v>
      </c>
      <c r="L39" s="424">
        <f t="shared" si="10"/>
        <v>0</v>
      </c>
      <c r="M39" s="166" t="str">
        <f aca="true" t="shared" si="11" ref="M39:M47">IF(ISERROR(ROUND(K39,0)/ROUND(J39,0))," ",(ROUND(K39,)/ROUND(J39,)))</f>
        <v> </v>
      </c>
      <c r="N39" s="169">
        <f>K39-'[9]Marts'!K39</f>
        <v>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61" customFormat="1" ht="12.75" customHeight="1">
      <c r="A40" s="53" t="s">
        <v>196</v>
      </c>
      <c r="B40" s="167">
        <f>B41+B43</f>
        <v>1822420</v>
      </c>
      <c r="C40" s="167">
        <f>C41+C43</f>
        <v>1286581</v>
      </c>
      <c r="D40" s="167">
        <f>D41+D43</f>
        <v>521651</v>
      </c>
      <c r="E40" s="420">
        <f t="shared" si="5"/>
        <v>0.2862408226424205</v>
      </c>
      <c r="F40" s="420">
        <f t="shared" si="2"/>
        <v>0.40545523367747544</v>
      </c>
      <c r="G40" s="411">
        <f>D40-'[9]Marts'!D40</f>
        <v>5687</v>
      </c>
      <c r="H40" s="53" t="s">
        <v>196</v>
      </c>
      <c r="I40" s="167">
        <f>I41+I43</f>
        <v>1822</v>
      </c>
      <c r="J40" s="167">
        <f>J41+J43</f>
        <v>1287</v>
      </c>
      <c r="K40" s="167">
        <f>K41+K43</f>
        <v>522</v>
      </c>
      <c r="L40" s="419">
        <f t="shared" si="10"/>
        <v>0.2864983534577388</v>
      </c>
      <c r="M40" s="419">
        <f t="shared" si="11"/>
        <v>0.40559440559440557</v>
      </c>
      <c r="N40" s="167">
        <f>K40-'[9]Marts'!K40</f>
        <v>6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1:104" s="191" customFormat="1" ht="12.75" customHeight="1">
      <c r="A41" s="421" t="s">
        <v>461</v>
      </c>
      <c r="B41" s="422">
        <f>SUM(B42:B42)</f>
        <v>1327420</v>
      </c>
      <c r="C41" s="422">
        <f>SUM(C42:C42)</f>
        <v>848000</v>
      </c>
      <c r="D41" s="422">
        <f>SUM(D42:D42)</f>
        <v>129956</v>
      </c>
      <c r="E41" s="418">
        <f t="shared" si="5"/>
        <v>0.097901191785569</v>
      </c>
      <c r="F41" s="418">
        <f t="shared" si="2"/>
        <v>0.15325</v>
      </c>
      <c r="G41" s="411">
        <f>D41-'[9]Marts'!D41</f>
        <v>740</v>
      </c>
      <c r="H41" s="421" t="s">
        <v>461</v>
      </c>
      <c r="I41" s="422">
        <f>I42</f>
        <v>1327</v>
      </c>
      <c r="J41" s="422">
        <f>J42</f>
        <v>848</v>
      </c>
      <c r="K41" s="422">
        <f>K42</f>
        <v>130</v>
      </c>
      <c r="L41" s="423">
        <f t="shared" si="10"/>
        <v>0.09796533534287867</v>
      </c>
      <c r="M41" s="423">
        <f t="shared" si="11"/>
        <v>0.15330188679245282</v>
      </c>
      <c r="N41" s="422">
        <f>K41-'[9]Marts'!K41</f>
        <v>1</v>
      </c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</row>
    <row r="42" spans="1:104" s="54" customFormat="1" ht="12.75">
      <c r="A42" s="115" t="s">
        <v>185</v>
      </c>
      <c r="B42" s="169">
        <v>1327420</v>
      </c>
      <c r="C42" s="169">
        <v>848000</v>
      </c>
      <c r="D42" s="169">
        <v>129956</v>
      </c>
      <c r="E42" s="418">
        <f t="shared" si="5"/>
        <v>0.097901191785569</v>
      </c>
      <c r="F42" s="418">
        <f t="shared" si="2"/>
        <v>0.15325</v>
      </c>
      <c r="G42" s="411">
        <f>D42-'[9]Marts'!D42</f>
        <v>740</v>
      </c>
      <c r="H42" s="115" t="s">
        <v>185</v>
      </c>
      <c r="I42" s="169">
        <f>ROUND(B42/1000,0)</f>
        <v>1327</v>
      </c>
      <c r="J42" s="169">
        <f>ROUND(C42/1000,0)</f>
        <v>848</v>
      </c>
      <c r="K42" s="169">
        <f>ROUND(D42/1000,0)</f>
        <v>130</v>
      </c>
      <c r="L42" s="424">
        <f t="shared" si="10"/>
        <v>0.09796533534287867</v>
      </c>
      <c r="M42" s="424">
        <f t="shared" si="11"/>
        <v>0.15330188679245282</v>
      </c>
      <c r="N42" s="169">
        <f>K42-'[9]Marts'!K42</f>
        <v>1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187" customFormat="1" ht="12.75">
      <c r="A43" s="421" t="s">
        <v>462</v>
      </c>
      <c r="B43" s="422">
        <f>B44</f>
        <v>495000</v>
      </c>
      <c r="C43" s="422">
        <f>C44</f>
        <v>438581</v>
      </c>
      <c r="D43" s="422">
        <f>D44</f>
        <v>391695</v>
      </c>
      <c r="E43" s="418">
        <f t="shared" si="5"/>
        <v>0.7913030303030303</v>
      </c>
      <c r="F43" s="418">
        <f t="shared" si="2"/>
        <v>0.8930961441558116</v>
      </c>
      <c r="G43" s="411">
        <f>D43-'[9]Marts'!D43</f>
        <v>4947</v>
      </c>
      <c r="H43" s="421" t="s">
        <v>462</v>
      </c>
      <c r="I43" s="422">
        <f>I44</f>
        <v>495</v>
      </c>
      <c r="J43" s="422">
        <f>J44</f>
        <v>439</v>
      </c>
      <c r="K43" s="422">
        <f>K44</f>
        <v>392</v>
      </c>
      <c r="L43" s="423">
        <f t="shared" si="10"/>
        <v>0.7919191919191919</v>
      </c>
      <c r="M43" s="423">
        <f t="shared" si="11"/>
        <v>0.8929384965831435</v>
      </c>
      <c r="N43" s="422">
        <f>K43-'[9]Marts'!K43</f>
        <v>5</v>
      </c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</row>
    <row r="44" spans="1:104" s="75" customFormat="1" ht="12.75">
      <c r="A44" s="115" t="s">
        <v>185</v>
      </c>
      <c r="B44" s="169">
        <v>495000</v>
      </c>
      <c r="C44" s="169">
        <v>438581</v>
      </c>
      <c r="D44" s="169">
        <v>391695</v>
      </c>
      <c r="E44" s="418">
        <f t="shared" si="5"/>
        <v>0.7913030303030303</v>
      </c>
      <c r="F44" s="418">
        <f t="shared" si="2"/>
        <v>0.8930961441558116</v>
      </c>
      <c r="G44" s="411">
        <f>D44-'[9]Marts'!D44</f>
        <v>4947</v>
      </c>
      <c r="H44" s="115" t="s">
        <v>185</v>
      </c>
      <c r="I44" s="169">
        <f>ROUND(B44/1000,0)</f>
        <v>495</v>
      </c>
      <c r="J44" s="169">
        <f>ROUND(C44/1000,0)</f>
        <v>439</v>
      </c>
      <c r="K44" s="169">
        <f>ROUND(D44/1000,0)</f>
        <v>392</v>
      </c>
      <c r="L44" s="424">
        <f t="shared" si="10"/>
        <v>0.7919191919191919</v>
      </c>
      <c r="M44" s="424">
        <f t="shared" si="11"/>
        <v>0.8929384965831435</v>
      </c>
      <c r="N44" s="169">
        <f>K44-'[9]Marts'!K44</f>
        <v>5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4" s="2" customFormat="1" ht="12.75">
      <c r="A45" s="68" t="s">
        <v>197</v>
      </c>
      <c r="B45" s="425">
        <f>B46+B49</f>
        <v>20232297</v>
      </c>
      <c r="C45" s="425">
        <f>C46+C49</f>
        <v>930885</v>
      </c>
      <c r="D45" s="425">
        <f>D46+D49</f>
        <v>217265</v>
      </c>
      <c r="E45" s="420">
        <f t="shared" si="5"/>
        <v>0.010738523658485242</v>
      </c>
      <c r="F45" s="420">
        <f t="shared" si="2"/>
        <v>0.23339617675652738</v>
      </c>
      <c r="G45" s="411">
        <f>D45-'[9]Marts'!D45</f>
        <v>24622</v>
      </c>
      <c r="H45" s="68" t="s">
        <v>197</v>
      </c>
      <c r="I45" s="167">
        <f>I46+I49</f>
        <v>20231</v>
      </c>
      <c r="J45" s="167">
        <f>J46+J49</f>
        <v>931</v>
      </c>
      <c r="K45" s="167">
        <f>K46+K49</f>
        <v>217</v>
      </c>
      <c r="L45" s="419">
        <f t="shared" si="10"/>
        <v>0.010726113390341555</v>
      </c>
      <c r="M45" s="419">
        <f t="shared" si="11"/>
        <v>0.23308270676691728</v>
      </c>
      <c r="N45" s="167">
        <f>K45-'[9]Marts'!K45</f>
        <v>24</v>
      </c>
    </row>
    <row r="46" spans="1:14" s="82" customFormat="1" ht="12.75">
      <c r="A46" s="421" t="s">
        <v>461</v>
      </c>
      <c r="B46" s="422">
        <f>SUM(B47:B48)</f>
        <v>15652677</v>
      </c>
      <c r="C46" s="422">
        <f>SUM(C47:C48)</f>
        <v>798885</v>
      </c>
      <c r="D46" s="422">
        <f>SUM(D47:D48)</f>
        <v>134670</v>
      </c>
      <c r="E46" s="418">
        <f t="shared" si="5"/>
        <v>0.008603640131333445</v>
      </c>
      <c r="F46" s="418">
        <f t="shared" si="2"/>
        <v>0.16857244784918982</v>
      </c>
      <c r="G46" s="411">
        <f>D46-'[9]Marts'!D46</f>
        <v>22652</v>
      </c>
      <c r="H46" s="421" t="s">
        <v>461</v>
      </c>
      <c r="I46" s="422">
        <f>SUM(I47:I48)</f>
        <v>15652</v>
      </c>
      <c r="J46" s="422">
        <f>SUM(J47:J48)</f>
        <v>799</v>
      </c>
      <c r="K46" s="422">
        <f>SUM(K47:K48)</f>
        <v>134</v>
      </c>
      <c r="L46" s="423">
        <f t="shared" si="10"/>
        <v>0.00856120623562484</v>
      </c>
      <c r="M46" s="423">
        <f t="shared" si="11"/>
        <v>0.1677096370463079</v>
      </c>
      <c r="N46" s="422">
        <f>K46-'[9]Marts'!K46</f>
        <v>22</v>
      </c>
    </row>
    <row r="47" spans="1:14" ht="12.75">
      <c r="A47" s="115" t="s">
        <v>185</v>
      </c>
      <c r="B47" s="169">
        <v>14120267</v>
      </c>
      <c r="C47" s="169">
        <v>198785</v>
      </c>
      <c r="D47" s="169">
        <v>134670</v>
      </c>
      <c r="E47" s="418">
        <f t="shared" si="5"/>
        <v>0.009537355065594723</v>
      </c>
      <c r="F47" s="418">
        <f t="shared" si="2"/>
        <v>0.6774656035415147</v>
      </c>
      <c r="G47" s="411">
        <f>D47-'[9]Marts'!D47</f>
        <v>22652</v>
      </c>
      <c r="H47" s="115" t="s">
        <v>185</v>
      </c>
      <c r="I47" s="169">
        <f aca="true" t="shared" si="12" ref="I47:K48">ROUND(B47/1000,0)</f>
        <v>14120</v>
      </c>
      <c r="J47" s="169">
        <f t="shared" si="12"/>
        <v>199</v>
      </c>
      <c r="K47" s="169">
        <f>ROUND(D47/1000,0)-1</f>
        <v>134</v>
      </c>
      <c r="L47" s="424">
        <f t="shared" si="10"/>
        <v>0.009490084985835694</v>
      </c>
      <c r="M47" s="424">
        <f t="shared" si="11"/>
        <v>0.6733668341708543</v>
      </c>
      <c r="N47" s="169">
        <f>K47-'[9]Marts'!K47</f>
        <v>22</v>
      </c>
    </row>
    <row r="48" spans="1:14" ht="12.75">
      <c r="A48" s="115" t="s">
        <v>186</v>
      </c>
      <c r="B48" s="169">
        <v>1532410</v>
      </c>
      <c r="C48" s="169">
        <v>600100</v>
      </c>
      <c r="D48" s="169"/>
      <c r="E48" s="418">
        <f t="shared" si="5"/>
        <v>0</v>
      </c>
      <c r="F48" s="418">
        <f t="shared" si="2"/>
        <v>0</v>
      </c>
      <c r="G48" s="411">
        <f>D48-'[9]Marts'!D48</f>
        <v>0</v>
      </c>
      <c r="H48" s="115" t="s">
        <v>186</v>
      </c>
      <c r="I48" s="169">
        <f t="shared" si="12"/>
        <v>1532</v>
      </c>
      <c r="J48" s="169">
        <f t="shared" si="12"/>
        <v>600</v>
      </c>
      <c r="K48" s="169">
        <f t="shared" si="12"/>
        <v>0</v>
      </c>
      <c r="L48" s="424">
        <f t="shared" si="10"/>
        <v>0</v>
      </c>
      <c r="M48" s="166"/>
      <c r="N48" s="169">
        <f>K48-'[9]Marts'!K48</f>
        <v>0</v>
      </c>
    </row>
    <row r="49" spans="1:14" s="82" customFormat="1" ht="12.75">
      <c r="A49" s="421" t="s">
        <v>462</v>
      </c>
      <c r="B49" s="422">
        <f>SUM(B50:B51)</f>
        <v>4579620</v>
      </c>
      <c r="C49" s="422">
        <f>SUM(C50:C51)</f>
        <v>132000</v>
      </c>
      <c r="D49" s="422">
        <f>SUM(D50:D51)</f>
        <v>82595</v>
      </c>
      <c r="E49" s="418">
        <f t="shared" si="5"/>
        <v>0.018035339176612906</v>
      </c>
      <c r="F49" s="418">
        <f t="shared" si="2"/>
        <v>0.625719696969697</v>
      </c>
      <c r="G49" s="411">
        <f>D49-'[9]Marts'!D49</f>
        <v>1970</v>
      </c>
      <c r="H49" s="421" t="s">
        <v>462</v>
      </c>
      <c r="I49" s="422">
        <f>SUM(I50:I51)</f>
        <v>4579</v>
      </c>
      <c r="J49" s="422">
        <f>SUM(J50:J51)</f>
        <v>132</v>
      </c>
      <c r="K49" s="422">
        <f>SUM(K50:K51)</f>
        <v>83</v>
      </c>
      <c r="L49" s="423">
        <f t="shared" si="10"/>
        <v>0.018126228434155928</v>
      </c>
      <c r="M49" s="175">
        <f>IF(ISERROR(ROUND(K49,0)/ROUND(J49,0))," ",(ROUND(K49,)/ROUND(J49,)))</f>
        <v>0.6287878787878788</v>
      </c>
      <c r="N49" s="422">
        <f>K49-'[9]Marts'!K49</f>
        <v>2</v>
      </c>
    </row>
    <row r="50" spans="1:14" ht="12.75">
      <c r="A50" s="115" t="s">
        <v>185</v>
      </c>
      <c r="B50" s="169">
        <v>4475620</v>
      </c>
      <c r="C50" s="169">
        <v>37000</v>
      </c>
      <c r="D50" s="169">
        <v>13936</v>
      </c>
      <c r="E50" s="418">
        <f t="shared" si="5"/>
        <v>0.0031137585407161467</v>
      </c>
      <c r="F50" s="418">
        <f t="shared" si="2"/>
        <v>0.37664864864864867</v>
      </c>
      <c r="G50" s="411">
        <f>D50-'[9]Marts'!D50</f>
        <v>1970</v>
      </c>
      <c r="H50" s="115" t="s">
        <v>185</v>
      </c>
      <c r="I50" s="169">
        <f>ROUND(B50/1000,0)-1</f>
        <v>4475</v>
      </c>
      <c r="J50" s="169">
        <f>ROUND(C50/1000,0)</f>
        <v>37</v>
      </c>
      <c r="K50" s="169">
        <f>ROUND(D50/1000,0)</f>
        <v>14</v>
      </c>
      <c r="L50" s="424">
        <f t="shared" si="10"/>
        <v>0.0031284916201117317</v>
      </c>
      <c r="M50" s="166">
        <f>IF(ISERROR(ROUND(K50,0)/ROUND(J50,0))," ",(ROUND(K50,)/ROUND(J50,)))</f>
        <v>0.3783783783783784</v>
      </c>
      <c r="N50" s="169">
        <f>K50-'[9]Marts'!K50</f>
        <v>2</v>
      </c>
    </row>
    <row r="51" spans="1:14" ht="12.75">
      <c r="A51" s="115" t="s">
        <v>186</v>
      </c>
      <c r="B51" s="169">
        <v>104000</v>
      </c>
      <c r="C51" s="169">
        <v>95000</v>
      </c>
      <c r="D51" s="169">
        <v>68659</v>
      </c>
      <c r="E51" s="418">
        <f t="shared" si="5"/>
        <v>0.6601826923076923</v>
      </c>
      <c r="F51" s="418">
        <f t="shared" si="2"/>
        <v>0.7227263157894737</v>
      </c>
      <c r="G51" s="411">
        <f>D51-'[9]Marts'!D51</f>
        <v>0</v>
      </c>
      <c r="H51" s="115" t="s">
        <v>186</v>
      </c>
      <c r="I51" s="169">
        <f>ROUND(B51/1000,0)</f>
        <v>104</v>
      </c>
      <c r="J51" s="169">
        <f>ROUND(C51/1000,0)</f>
        <v>95</v>
      </c>
      <c r="K51" s="169">
        <f>ROUND(D51/1000,0)</f>
        <v>69</v>
      </c>
      <c r="L51" s="424">
        <f t="shared" si="10"/>
        <v>0.6634615384615384</v>
      </c>
      <c r="M51" s="166">
        <f>IF(ISERROR(ROUND(K51,0)/ROUND(J51,0))," ",(ROUND(K51,)/ROUND(J51,)))</f>
        <v>0.7263157894736842</v>
      </c>
      <c r="N51" s="169">
        <f>K51-'[9]Marts'!K51</f>
        <v>0</v>
      </c>
    </row>
    <row r="52" spans="1:14" s="2" customFormat="1" ht="12.75" customHeight="1">
      <c r="A52" s="68" t="s">
        <v>198</v>
      </c>
      <c r="B52" s="425">
        <f>B53+B55</f>
        <v>1222000</v>
      </c>
      <c r="C52" s="425">
        <f>C53+C55</f>
        <v>260000</v>
      </c>
      <c r="D52" s="425">
        <f>D53+D55</f>
        <v>161786</v>
      </c>
      <c r="E52" s="420">
        <f t="shared" si="5"/>
        <v>0.13239443535188217</v>
      </c>
      <c r="F52" s="420">
        <f t="shared" si="2"/>
        <v>0.6222538461538462</v>
      </c>
      <c r="G52" s="411">
        <f>D52-'[9]Marts'!D52</f>
        <v>45966</v>
      </c>
      <c r="H52" s="68" t="s">
        <v>198</v>
      </c>
      <c r="I52" s="167">
        <f>I53+I55</f>
        <v>1222</v>
      </c>
      <c r="J52" s="167">
        <f>J53+J55</f>
        <v>260</v>
      </c>
      <c r="K52" s="167">
        <f>K53+K55</f>
        <v>162</v>
      </c>
      <c r="L52" s="419">
        <f t="shared" si="10"/>
        <v>0.132569558101473</v>
      </c>
      <c r="M52" s="163">
        <f>IF(ISERROR(ROUND(K52,0)/ROUND(J52,0))," ",(ROUND(K52,)/ROUND(J52,)))</f>
        <v>0.6230769230769231</v>
      </c>
      <c r="N52" s="167">
        <f>K52-'[9]Marts'!K52</f>
        <v>46</v>
      </c>
    </row>
    <row r="53" spans="1:14" s="82" customFormat="1" ht="12.75" customHeight="1">
      <c r="A53" s="421" t="s">
        <v>461</v>
      </c>
      <c r="B53" s="422">
        <f>SUM(B54:B54)</f>
        <v>222000</v>
      </c>
      <c r="C53" s="422">
        <f>SUM(C54:C54)</f>
        <v>0</v>
      </c>
      <c r="D53" s="422">
        <f>SUM(D54:D54)</f>
        <v>0</v>
      </c>
      <c r="E53" s="418">
        <f t="shared" si="5"/>
        <v>0</v>
      </c>
      <c r="F53" s="418" t="str">
        <f t="shared" si="2"/>
        <v> </v>
      </c>
      <c r="G53" s="411">
        <f>D53-'[9]Marts'!D53</f>
        <v>0</v>
      </c>
      <c r="H53" s="421" t="s">
        <v>461</v>
      </c>
      <c r="I53" s="422">
        <f>I54</f>
        <v>222</v>
      </c>
      <c r="J53" s="422">
        <f>J54</f>
        <v>0</v>
      </c>
      <c r="K53" s="422">
        <f>K54</f>
        <v>0</v>
      </c>
      <c r="L53" s="423">
        <f t="shared" si="10"/>
        <v>0</v>
      </c>
      <c r="M53" s="175"/>
      <c r="N53" s="422">
        <f>K53-'[9]Marts'!K53</f>
        <v>0</v>
      </c>
    </row>
    <row r="54" spans="1:14" ht="12.75">
      <c r="A54" s="115" t="s">
        <v>186</v>
      </c>
      <c r="B54" s="169">
        <v>222000</v>
      </c>
      <c r="C54" s="169">
        <v>0</v>
      </c>
      <c r="D54" s="169"/>
      <c r="E54" s="418">
        <f t="shared" si="5"/>
        <v>0</v>
      </c>
      <c r="F54" s="418" t="str">
        <f t="shared" si="2"/>
        <v> </v>
      </c>
      <c r="G54" s="411">
        <f>D54-'[9]Marts'!D54</f>
        <v>0</v>
      </c>
      <c r="H54" s="115" t="s">
        <v>186</v>
      </c>
      <c r="I54" s="169">
        <f>ROUND(B54/1000,0)</f>
        <v>222</v>
      </c>
      <c r="J54" s="169">
        <f>ROUND(C54/1000,0)</f>
        <v>0</v>
      </c>
      <c r="K54" s="169">
        <f>ROUND(D54/1000,0)</f>
        <v>0</v>
      </c>
      <c r="L54" s="424">
        <f t="shared" si="10"/>
        <v>0</v>
      </c>
      <c r="M54" s="166"/>
      <c r="N54" s="169">
        <f>K54-'[9]Marts'!K54</f>
        <v>0</v>
      </c>
    </row>
    <row r="55" spans="1:14" s="82" customFormat="1" ht="12.75">
      <c r="A55" s="421" t="s">
        <v>462</v>
      </c>
      <c r="B55" s="422">
        <f>B56</f>
        <v>1000000</v>
      </c>
      <c r="C55" s="422">
        <f>C56</f>
        <v>260000</v>
      </c>
      <c r="D55" s="422">
        <f>D56</f>
        <v>161786</v>
      </c>
      <c r="E55" s="418">
        <f t="shared" si="5"/>
        <v>0.161786</v>
      </c>
      <c r="F55" s="418">
        <f t="shared" si="2"/>
        <v>0.6222538461538462</v>
      </c>
      <c r="G55" s="411">
        <f>D55-'[9]Marts'!D55</f>
        <v>45966</v>
      </c>
      <c r="H55" s="421" t="s">
        <v>462</v>
      </c>
      <c r="I55" s="422">
        <f>I56</f>
        <v>1000</v>
      </c>
      <c r="J55" s="422">
        <f>J56</f>
        <v>260</v>
      </c>
      <c r="K55" s="422">
        <f>K56</f>
        <v>162</v>
      </c>
      <c r="L55" s="423">
        <f t="shared" si="10"/>
        <v>0.162</v>
      </c>
      <c r="M55" s="175">
        <f>IF(ISERROR(ROUND(K55,0)/ROUND(J55,0))," ",(ROUND(K55,)/ROUND(J55,)))</f>
        <v>0.6230769230769231</v>
      </c>
      <c r="N55" s="422">
        <f>K55-'[9]Marts'!K55</f>
        <v>46</v>
      </c>
    </row>
    <row r="56" spans="1:14" ht="12.75">
      <c r="A56" s="115" t="s">
        <v>186</v>
      </c>
      <c r="B56" s="169">
        <v>1000000</v>
      </c>
      <c r="C56" s="169">
        <v>260000</v>
      </c>
      <c r="D56" s="169">
        <v>161786</v>
      </c>
      <c r="E56" s="418">
        <f t="shared" si="5"/>
        <v>0.161786</v>
      </c>
      <c r="F56" s="418">
        <f t="shared" si="2"/>
        <v>0.6222538461538462</v>
      </c>
      <c r="G56" s="411">
        <f>D56-'[9]Marts'!D56</f>
        <v>45966</v>
      </c>
      <c r="H56" s="115" t="s">
        <v>186</v>
      </c>
      <c r="I56" s="169">
        <f>ROUND(B56/1000,0)</f>
        <v>1000</v>
      </c>
      <c r="J56" s="169">
        <f>ROUND(C56/1000,0)</f>
        <v>260</v>
      </c>
      <c r="K56" s="169">
        <f>ROUND(D56/1000,0)</f>
        <v>162</v>
      </c>
      <c r="L56" s="424">
        <f t="shared" si="10"/>
        <v>0.162</v>
      </c>
      <c r="M56" s="166">
        <f>IF(ISERROR(ROUND(K56,0)/ROUND(J56,0))," ",(ROUND(K56,)/ROUND(J56,)))</f>
        <v>0.6230769230769231</v>
      </c>
      <c r="N56" s="169">
        <f>K56-'[9]Marts'!K56</f>
        <v>46</v>
      </c>
    </row>
    <row r="57" spans="1:14" s="2" customFormat="1" ht="12.75">
      <c r="A57" s="68" t="s">
        <v>199</v>
      </c>
      <c r="B57" s="425">
        <f>B58+B61</f>
        <v>1898720</v>
      </c>
      <c r="C57" s="425">
        <f>C58+C61</f>
        <v>176595</v>
      </c>
      <c r="D57" s="425">
        <f>D58+D61</f>
        <v>8177</v>
      </c>
      <c r="E57" s="420">
        <f t="shared" si="5"/>
        <v>0.004306585489171653</v>
      </c>
      <c r="F57" s="420">
        <f t="shared" si="2"/>
        <v>0.04630368923242448</v>
      </c>
      <c r="G57" s="411">
        <f>D57-'[9]Marts'!D57</f>
        <v>8177</v>
      </c>
      <c r="H57" s="68" t="s">
        <v>199</v>
      </c>
      <c r="I57" s="167">
        <f>I58+I61</f>
        <v>1900</v>
      </c>
      <c r="J57" s="167">
        <f>J58+J61</f>
        <v>177</v>
      </c>
      <c r="K57" s="167">
        <f>K58+K61</f>
        <v>8</v>
      </c>
      <c r="L57" s="419">
        <f t="shared" si="10"/>
        <v>0.004210526315789474</v>
      </c>
      <c r="M57" s="166"/>
      <c r="N57" s="167">
        <f>K57-'[9]Marts'!K57</f>
        <v>8</v>
      </c>
    </row>
    <row r="58" spans="1:14" s="82" customFormat="1" ht="12.75">
      <c r="A58" s="421" t="s">
        <v>461</v>
      </c>
      <c r="B58" s="422">
        <f>SUM(B59:B60)</f>
        <v>1604180</v>
      </c>
      <c r="C58" s="422">
        <f>SUM(C59:C60)</f>
        <v>137615</v>
      </c>
      <c r="D58" s="422">
        <f>SUM(D59:D60)</f>
        <v>0</v>
      </c>
      <c r="E58" s="418">
        <f t="shared" si="5"/>
        <v>0</v>
      </c>
      <c r="F58" s="418">
        <f t="shared" si="2"/>
        <v>0</v>
      </c>
      <c r="G58" s="411">
        <f>D58-'[9]Marts'!D58</f>
        <v>0</v>
      </c>
      <c r="H58" s="421" t="s">
        <v>461</v>
      </c>
      <c r="I58" s="422">
        <f>SUM(I59:I60)</f>
        <v>1605</v>
      </c>
      <c r="J58" s="422">
        <f>SUM(J59:J60)</f>
        <v>138</v>
      </c>
      <c r="K58" s="422">
        <f>SUM(K59:K60)</f>
        <v>0</v>
      </c>
      <c r="L58" s="423">
        <f t="shared" si="10"/>
        <v>0</v>
      </c>
      <c r="M58" s="166"/>
      <c r="N58" s="422">
        <f>K58-'[9]Marts'!K58</f>
        <v>0</v>
      </c>
    </row>
    <row r="59" spans="1:14" ht="12.75">
      <c r="A59" s="115" t="s">
        <v>185</v>
      </c>
      <c r="B59" s="169">
        <v>1130660</v>
      </c>
      <c r="C59" s="169">
        <v>107688</v>
      </c>
      <c r="D59" s="169"/>
      <c r="E59" s="418">
        <f t="shared" si="5"/>
        <v>0</v>
      </c>
      <c r="F59" s="418">
        <f t="shared" si="2"/>
        <v>0</v>
      </c>
      <c r="G59" s="411">
        <f>D59-'[9]Marts'!D59</f>
        <v>0</v>
      </c>
      <c r="H59" s="115" t="s">
        <v>185</v>
      </c>
      <c r="I59" s="169">
        <f aca="true" t="shared" si="13" ref="I59:K60">ROUND(B59/1000,0)</f>
        <v>1131</v>
      </c>
      <c r="J59" s="169">
        <f t="shared" si="13"/>
        <v>108</v>
      </c>
      <c r="K59" s="169">
        <f t="shared" si="13"/>
        <v>0</v>
      </c>
      <c r="L59" s="424">
        <f t="shared" si="10"/>
        <v>0</v>
      </c>
      <c r="M59" s="166"/>
      <c r="N59" s="169">
        <f>K59-'[9]Marts'!K59</f>
        <v>0</v>
      </c>
    </row>
    <row r="60" spans="1:14" ht="12.75">
      <c r="A60" s="115" t="s">
        <v>186</v>
      </c>
      <c r="B60" s="169">
        <v>473520</v>
      </c>
      <c r="C60" s="169">
        <v>29927</v>
      </c>
      <c r="D60" s="169"/>
      <c r="E60" s="418">
        <f t="shared" si="5"/>
        <v>0</v>
      </c>
      <c r="F60" s="418">
        <f t="shared" si="2"/>
        <v>0</v>
      </c>
      <c r="G60" s="411">
        <f>D60-'[9]Marts'!D60</f>
        <v>0</v>
      </c>
      <c r="H60" s="115" t="s">
        <v>186</v>
      </c>
      <c r="I60" s="169">
        <f t="shared" si="13"/>
        <v>474</v>
      </c>
      <c r="J60" s="169">
        <f t="shared" si="13"/>
        <v>30</v>
      </c>
      <c r="K60" s="169">
        <f t="shared" si="13"/>
        <v>0</v>
      </c>
      <c r="L60" s="424">
        <f t="shared" si="10"/>
        <v>0</v>
      </c>
      <c r="M60" s="166"/>
      <c r="N60" s="169">
        <f>K60-'[9]Marts'!K60</f>
        <v>0</v>
      </c>
    </row>
    <row r="61" spans="1:14" s="82" customFormat="1" ht="12.75">
      <c r="A61" s="421" t="s">
        <v>462</v>
      </c>
      <c r="B61" s="422">
        <f>SUM(B62:B63)</f>
        <v>294540</v>
      </c>
      <c r="C61" s="422">
        <f>SUM(C62:C63)</f>
        <v>38980</v>
      </c>
      <c r="D61" s="422">
        <f>SUM(D62:D63)</f>
        <v>8177</v>
      </c>
      <c r="E61" s="418">
        <f t="shared" si="5"/>
        <v>0.027761933862972772</v>
      </c>
      <c r="F61" s="418">
        <f t="shared" si="2"/>
        <v>0.20977424320164187</v>
      </c>
      <c r="G61" s="411">
        <f>D61-'[9]Marts'!D61</f>
        <v>8177</v>
      </c>
      <c r="H61" s="421" t="s">
        <v>462</v>
      </c>
      <c r="I61" s="422">
        <f>SUM(I62:I63)</f>
        <v>295</v>
      </c>
      <c r="J61" s="422">
        <f>SUM(J62:J63)</f>
        <v>39</v>
      </c>
      <c r="K61" s="422">
        <f>SUM(K62:K63)</f>
        <v>8</v>
      </c>
      <c r="L61" s="423">
        <f t="shared" si="10"/>
        <v>0.02711864406779661</v>
      </c>
      <c r="M61" s="166"/>
      <c r="N61" s="422">
        <f>K61-'[9]Marts'!K61</f>
        <v>8</v>
      </c>
    </row>
    <row r="62" spans="1:14" ht="12.75">
      <c r="A62" s="115" t="s">
        <v>185</v>
      </c>
      <c r="B62" s="169">
        <v>185510</v>
      </c>
      <c r="C62" s="169">
        <v>23980</v>
      </c>
      <c r="D62" s="169">
        <v>2059</v>
      </c>
      <c r="E62" s="418">
        <f t="shared" si="5"/>
        <v>0.01109913212225756</v>
      </c>
      <c r="F62" s="418">
        <f t="shared" si="2"/>
        <v>0.08586321934945788</v>
      </c>
      <c r="G62" s="411">
        <f>D62-'[9]Marts'!D62</f>
        <v>2059</v>
      </c>
      <c r="H62" s="115" t="s">
        <v>185</v>
      </c>
      <c r="I62" s="169">
        <f aca="true" t="shared" si="14" ref="I62:K63">ROUND(B62/1000,0)</f>
        <v>186</v>
      </c>
      <c r="J62" s="169">
        <f t="shared" si="14"/>
        <v>24</v>
      </c>
      <c r="K62" s="169">
        <f t="shared" si="14"/>
        <v>2</v>
      </c>
      <c r="L62" s="424">
        <f t="shared" si="10"/>
        <v>0.010752688172043012</v>
      </c>
      <c r="M62" s="166"/>
      <c r="N62" s="169">
        <f>K62-'[9]Marts'!K62</f>
        <v>2</v>
      </c>
    </row>
    <row r="63" spans="1:14" ht="12.75">
      <c r="A63" s="115" t="s">
        <v>186</v>
      </c>
      <c r="B63" s="169">
        <v>109030</v>
      </c>
      <c r="C63" s="169">
        <v>15000</v>
      </c>
      <c r="D63" s="169">
        <v>6118</v>
      </c>
      <c r="E63" s="418">
        <f t="shared" si="5"/>
        <v>0.056112996423002846</v>
      </c>
      <c r="F63" s="418">
        <f t="shared" si="2"/>
        <v>0.40786666666666666</v>
      </c>
      <c r="G63" s="411">
        <f>D63-'[9]Marts'!D63</f>
        <v>6118</v>
      </c>
      <c r="H63" s="115" t="s">
        <v>186</v>
      </c>
      <c r="I63" s="169">
        <f t="shared" si="14"/>
        <v>109</v>
      </c>
      <c r="J63" s="169">
        <f>ROUND(C63/1000,0)</f>
        <v>15</v>
      </c>
      <c r="K63" s="169">
        <f t="shared" si="14"/>
        <v>6</v>
      </c>
      <c r="L63" s="424">
        <f t="shared" si="10"/>
        <v>0.05504587155963303</v>
      </c>
      <c r="M63" s="166"/>
      <c r="N63" s="169">
        <f>K63-'[9]Marts'!K63</f>
        <v>6</v>
      </c>
    </row>
    <row r="64" spans="1:14" s="2" customFormat="1" ht="12.75">
      <c r="A64" s="68" t="s">
        <v>463</v>
      </c>
      <c r="B64" s="425">
        <f>B65+B68</f>
        <v>1063700</v>
      </c>
      <c r="C64" s="425">
        <f>C65+C68</f>
        <v>384158</v>
      </c>
      <c r="D64" s="425">
        <f>D65+D68</f>
        <v>98427</v>
      </c>
      <c r="E64" s="420">
        <f t="shared" si="5"/>
        <v>0.09253266898561624</v>
      </c>
      <c r="F64" s="420">
        <f t="shared" si="2"/>
        <v>0.25621489074807763</v>
      </c>
      <c r="G64" s="411">
        <f>D64-'[9]Marts'!D64</f>
        <v>2498</v>
      </c>
      <c r="H64" s="68" t="s">
        <v>463</v>
      </c>
      <c r="I64" s="167">
        <f>I65+I68</f>
        <v>1064</v>
      </c>
      <c r="J64" s="167">
        <f>J65+J68</f>
        <v>384</v>
      </c>
      <c r="K64" s="167">
        <f>K65+K68</f>
        <v>98</v>
      </c>
      <c r="L64" s="419">
        <f t="shared" si="10"/>
        <v>0.09210526315789473</v>
      </c>
      <c r="M64" s="419">
        <f>IF(ISERROR(ROUND(K64,0)/ROUND(J64,0))," ",(ROUND(K64,)/ROUND(J64,)))</f>
        <v>0.2552083333333333</v>
      </c>
      <c r="N64" s="167">
        <f>K64-'[9]Marts'!K64</f>
        <v>2</v>
      </c>
    </row>
    <row r="65" spans="1:14" s="82" customFormat="1" ht="12.75">
      <c r="A65" s="421" t="s">
        <v>461</v>
      </c>
      <c r="B65" s="422">
        <f>SUM(B66:B67)</f>
        <v>683000</v>
      </c>
      <c r="C65" s="422">
        <f>SUM(C66:C67)</f>
        <v>285000</v>
      </c>
      <c r="D65" s="422">
        <f>SUM(D66:D67)</f>
        <v>0</v>
      </c>
      <c r="E65" s="418">
        <f t="shared" si="5"/>
        <v>0</v>
      </c>
      <c r="F65" s="418">
        <f t="shared" si="2"/>
        <v>0</v>
      </c>
      <c r="G65" s="411">
        <f>D65-'[9]Marts'!D65</f>
        <v>0</v>
      </c>
      <c r="H65" s="421" t="s">
        <v>461</v>
      </c>
      <c r="I65" s="422">
        <f>SUM(I66:I67)</f>
        <v>683</v>
      </c>
      <c r="J65" s="422">
        <f>SUM(J66:J67)</f>
        <v>285</v>
      </c>
      <c r="K65" s="422">
        <f>SUM(K66:K67)</f>
        <v>0</v>
      </c>
      <c r="L65" s="423">
        <f t="shared" si="10"/>
        <v>0</v>
      </c>
      <c r="M65" s="175"/>
      <c r="N65" s="422">
        <f>K65-'[9]Marts'!K65</f>
        <v>0</v>
      </c>
    </row>
    <row r="66" spans="1:14" ht="12.75">
      <c r="A66" s="115" t="s">
        <v>185</v>
      </c>
      <c r="B66" s="169">
        <v>186000</v>
      </c>
      <c r="C66" s="169">
        <v>76000</v>
      </c>
      <c r="D66" s="169"/>
      <c r="E66" s="418">
        <f t="shared" si="5"/>
        <v>0</v>
      </c>
      <c r="F66" s="418">
        <f t="shared" si="2"/>
        <v>0</v>
      </c>
      <c r="G66" s="411">
        <f>D66-'[9]Marts'!D66</f>
        <v>0</v>
      </c>
      <c r="H66" s="115" t="s">
        <v>185</v>
      </c>
      <c r="I66" s="169">
        <f aca="true" t="shared" si="15" ref="I66:K67">ROUND(B66/1000,0)</f>
        <v>186</v>
      </c>
      <c r="J66" s="169">
        <f t="shared" si="15"/>
        <v>76</v>
      </c>
      <c r="K66" s="169">
        <f t="shared" si="15"/>
        <v>0</v>
      </c>
      <c r="L66" s="424">
        <f t="shared" si="10"/>
        <v>0</v>
      </c>
      <c r="M66" s="166"/>
      <c r="N66" s="169">
        <f>K66-'[9]Marts'!K66</f>
        <v>0</v>
      </c>
    </row>
    <row r="67" spans="1:14" ht="12.75">
      <c r="A67" s="115" t="s">
        <v>186</v>
      </c>
      <c r="B67" s="169">
        <v>497000</v>
      </c>
      <c r="C67" s="169">
        <v>209000</v>
      </c>
      <c r="D67" s="169"/>
      <c r="E67" s="418">
        <f t="shared" si="5"/>
        <v>0</v>
      </c>
      <c r="F67" s="418">
        <f t="shared" si="2"/>
        <v>0</v>
      </c>
      <c r="G67" s="411">
        <f>D67-'[9]Marts'!D67</f>
        <v>0</v>
      </c>
      <c r="H67" s="115" t="s">
        <v>186</v>
      </c>
      <c r="I67" s="169">
        <f t="shared" si="15"/>
        <v>497</v>
      </c>
      <c r="J67" s="169">
        <f t="shared" si="15"/>
        <v>209</v>
      </c>
      <c r="K67" s="169">
        <f t="shared" si="15"/>
        <v>0</v>
      </c>
      <c r="L67" s="424">
        <f t="shared" si="10"/>
        <v>0</v>
      </c>
      <c r="M67" s="166"/>
      <c r="N67" s="169">
        <f>K67-'[9]Marts'!K67</f>
        <v>0</v>
      </c>
    </row>
    <row r="68" spans="1:14" s="82" customFormat="1" ht="12.75">
      <c r="A68" s="421" t="s">
        <v>462</v>
      </c>
      <c r="B68" s="422">
        <f>SUM(B69:B70)</f>
        <v>380700</v>
      </c>
      <c r="C68" s="422">
        <f>SUM(C69:C70)</f>
        <v>99158</v>
      </c>
      <c r="D68" s="422">
        <f>SUM(D69:D70)</f>
        <v>98427</v>
      </c>
      <c r="E68" s="418">
        <f t="shared" si="5"/>
        <v>0.25854215918045703</v>
      </c>
      <c r="F68" s="418">
        <f t="shared" si="2"/>
        <v>0.9926279271465741</v>
      </c>
      <c r="G68" s="411">
        <f>D68-'[9]Marts'!D68</f>
        <v>2498</v>
      </c>
      <c r="H68" s="421" t="s">
        <v>462</v>
      </c>
      <c r="I68" s="422">
        <f>SUM(I69:I70)</f>
        <v>381</v>
      </c>
      <c r="J68" s="422">
        <f>SUM(J69:J70)</f>
        <v>99</v>
      </c>
      <c r="K68" s="422">
        <f>SUM(K69:K70)</f>
        <v>98</v>
      </c>
      <c r="L68" s="423">
        <f t="shared" si="10"/>
        <v>0.2572178477690289</v>
      </c>
      <c r="M68" s="175">
        <f aca="true" t="shared" si="16" ref="M68:M73">IF(ISERROR(ROUND(K68,0)/ROUND(J68,0))," ",(ROUND(K68,)/ROUND(J68,)))</f>
        <v>0.98989898989899</v>
      </c>
      <c r="N68" s="422">
        <f>K68-'[9]Marts'!K68</f>
        <v>2</v>
      </c>
    </row>
    <row r="69" spans="1:14" ht="12.75">
      <c r="A69" s="115" t="s">
        <v>185</v>
      </c>
      <c r="B69" s="169">
        <v>30700</v>
      </c>
      <c r="C69" s="169">
        <v>10158</v>
      </c>
      <c r="D69" s="169">
        <v>10042</v>
      </c>
      <c r="E69" s="418">
        <f t="shared" si="5"/>
        <v>0.3271009771986971</v>
      </c>
      <c r="F69" s="418">
        <f t="shared" si="2"/>
        <v>0.9885804292183501</v>
      </c>
      <c r="G69" s="411">
        <f>D69-'[9]Marts'!D69</f>
        <v>2470</v>
      </c>
      <c r="H69" s="115" t="s">
        <v>185</v>
      </c>
      <c r="I69" s="169">
        <f aca="true" t="shared" si="17" ref="I69:K70">ROUND(B69/1000,0)</f>
        <v>31</v>
      </c>
      <c r="J69" s="169">
        <f t="shared" si="17"/>
        <v>10</v>
      </c>
      <c r="K69" s="169">
        <f t="shared" si="17"/>
        <v>10</v>
      </c>
      <c r="L69" s="424">
        <f t="shared" si="10"/>
        <v>0.3225806451612903</v>
      </c>
      <c r="M69" s="166">
        <f t="shared" si="16"/>
        <v>1</v>
      </c>
      <c r="N69" s="169">
        <f>K69-'[9]Marts'!K69</f>
        <v>2</v>
      </c>
    </row>
    <row r="70" spans="1:14" ht="12.75">
      <c r="A70" s="115" t="s">
        <v>186</v>
      </c>
      <c r="B70" s="169">
        <v>350000</v>
      </c>
      <c r="C70" s="169">
        <v>89000</v>
      </c>
      <c r="D70" s="169">
        <v>88385</v>
      </c>
      <c r="E70" s="418">
        <f t="shared" si="5"/>
        <v>0.25252857142857144</v>
      </c>
      <c r="F70" s="418">
        <f t="shared" si="2"/>
        <v>0.9930898876404495</v>
      </c>
      <c r="G70" s="411">
        <f>D70-'[9]Marts'!D70</f>
        <v>28</v>
      </c>
      <c r="H70" s="115" t="s">
        <v>186</v>
      </c>
      <c r="I70" s="169">
        <f t="shared" si="17"/>
        <v>350</v>
      </c>
      <c r="J70" s="169">
        <f t="shared" si="17"/>
        <v>89</v>
      </c>
      <c r="K70" s="169">
        <f t="shared" si="17"/>
        <v>88</v>
      </c>
      <c r="L70" s="424">
        <f t="shared" si="10"/>
        <v>0.25142857142857145</v>
      </c>
      <c r="M70" s="166">
        <f t="shared" si="16"/>
        <v>0.9887640449438202</v>
      </c>
      <c r="N70" s="169">
        <f>K70-'[9]Marts'!K70</f>
        <v>0</v>
      </c>
    </row>
    <row r="71" spans="1:14" s="2" customFormat="1" ht="24">
      <c r="A71" s="53" t="s">
        <v>464</v>
      </c>
      <c r="B71" s="425">
        <f>B72+B75</f>
        <v>1445796</v>
      </c>
      <c r="C71" s="425">
        <f>C72+C75</f>
        <v>306198</v>
      </c>
      <c r="D71" s="425">
        <f>D72+D75</f>
        <v>157791</v>
      </c>
      <c r="E71" s="420">
        <f t="shared" si="5"/>
        <v>0.1091378036735473</v>
      </c>
      <c r="F71" s="420">
        <f t="shared" si="2"/>
        <v>0.5153234181803931</v>
      </c>
      <c r="G71" s="411">
        <f>D71-'[9]Marts'!D71</f>
        <v>75994</v>
      </c>
      <c r="H71" s="53" t="s">
        <v>464</v>
      </c>
      <c r="I71" s="167">
        <f>I72+I75</f>
        <v>1446</v>
      </c>
      <c r="J71" s="167">
        <f>J72+J75</f>
        <v>307</v>
      </c>
      <c r="K71" s="167">
        <f>K72+K75</f>
        <v>158</v>
      </c>
      <c r="L71" s="419">
        <f t="shared" si="10"/>
        <v>0.10926694329183956</v>
      </c>
      <c r="M71" s="163">
        <f t="shared" si="16"/>
        <v>0.5146579804560261</v>
      </c>
      <c r="N71" s="167">
        <f>K71-'[9]Marts'!K71</f>
        <v>76</v>
      </c>
    </row>
    <row r="72" spans="1:14" s="82" customFormat="1" ht="12.75">
      <c r="A72" s="421" t="s">
        <v>461</v>
      </c>
      <c r="B72" s="422">
        <f>SUM(B73:B74)</f>
        <v>997196</v>
      </c>
      <c r="C72" s="422">
        <f>SUM(C73:C74)</f>
        <v>306198</v>
      </c>
      <c r="D72" s="422">
        <f>SUM(D73:D74)</f>
        <v>157791</v>
      </c>
      <c r="E72" s="418">
        <f t="shared" si="5"/>
        <v>0.15823469007095897</v>
      </c>
      <c r="F72" s="418">
        <f t="shared" si="2"/>
        <v>0.5153234181803931</v>
      </c>
      <c r="G72" s="411">
        <f>D72-'[9]Marts'!D72</f>
        <v>75994</v>
      </c>
      <c r="H72" s="421" t="s">
        <v>461</v>
      </c>
      <c r="I72" s="422">
        <f>SUM(I73:I74)</f>
        <v>997</v>
      </c>
      <c r="J72" s="422">
        <f>SUM(J73:J74)</f>
        <v>307</v>
      </c>
      <c r="K72" s="422">
        <f>SUM(K73:K74)</f>
        <v>158</v>
      </c>
      <c r="L72" s="423">
        <f t="shared" si="10"/>
        <v>0.1584754262788365</v>
      </c>
      <c r="M72" s="175">
        <f t="shared" si="16"/>
        <v>0.5146579804560261</v>
      </c>
      <c r="N72" s="422">
        <f>K72-'[9]Marts'!K72</f>
        <v>76</v>
      </c>
    </row>
    <row r="73" spans="1:14" ht="12.75">
      <c r="A73" s="115" t="s">
        <v>185</v>
      </c>
      <c r="B73" s="169">
        <v>890702</v>
      </c>
      <c r="C73" s="169">
        <v>278623</v>
      </c>
      <c r="D73" s="169">
        <v>157791</v>
      </c>
      <c r="E73" s="418">
        <f t="shared" si="5"/>
        <v>0.17715352609514742</v>
      </c>
      <c r="F73" s="418">
        <f aca="true" t="shared" si="18" ref="F73:F95">IF(ISERROR(D73/C73)," ",(D73/C73))</f>
        <v>0.5663243881517319</v>
      </c>
      <c r="G73" s="411">
        <f>D73-'[9]Marts'!D73</f>
        <v>75994</v>
      </c>
      <c r="H73" s="115" t="s">
        <v>185</v>
      </c>
      <c r="I73" s="169">
        <f aca="true" t="shared" si="19" ref="I73:K74">ROUND(B73/1000,0)</f>
        <v>891</v>
      </c>
      <c r="J73" s="169">
        <f t="shared" si="19"/>
        <v>279</v>
      </c>
      <c r="K73" s="169">
        <f t="shared" si="19"/>
        <v>158</v>
      </c>
      <c r="L73" s="424">
        <f t="shared" si="10"/>
        <v>0.17732884399551066</v>
      </c>
      <c r="M73" s="166">
        <f t="shared" si="16"/>
        <v>0.5663082437275986</v>
      </c>
      <c r="N73" s="169">
        <f>K73-'[9]Marts'!K73</f>
        <v>76</v>
      </c>
    </row>
    <row r="74" spans="1:14" ht="12.75">
      <c r="A74" s="173" t="s">
        <v>186</v>
      </c>
      <c r="B74" s="169">
        <v>106494</v>
      </c>
      <c r="C74" s="169">
        <v>27575</v>
      </c>
      <c r="D74" s="169"/>
      <c r="E74" s="418">
        <f t="shared" si="5"/>
        <v>0</v>
      </c>
      <c r="F74" s="418">
        <f t="shared" si="18"/>
        <v>0</v>
      </c>
      <c r="G74" s="411">
        <f>D74-'[9]Marts'!D74</f>
        <v>0</v>
      </c>
      <c r="H74" s="173" t="s">
        <v>186</v>
      </c>
      <c r="I74" s="169">
        <f t="shared" si="19"/>
        <v>106</v>
      </c>
      <c r="J74" s="169">
        <f t="shared" si="19"/>
        <v>28</v>
      </c>
      <c r="K74" s="169">
        <f t="shared" si="19"/>
        <v>0</v>
      </c>
      <c r="L74" s="424">
        <f t="shared" si="10"/>
        <v>0</v>
      </c>
      <c r="M74" s="166"/>
      <c r="N74" s="169">
        <f>K74-'[9]Marts'!K74</f>
        <v>0</v>
      </c>
    </row>
    <row r="75" spans="1:14" s="82" customFormat="1" ht="12.75">
      <c r="A75" s="421" t="s">
        <v>462</v>
      </c>
      <c r="B75" s="422">
        <f>SUM(B76:B77)</f>
        <v>448600</v>
      </c>
      <c r="C75" s="422">
        <f>SUM(C76:C77)</f>
        <v>0</v>
      </c>
      <c r="D75" s="422">
        <f>SUM(D76:D77)</f>
        <v>0</v>
      </c>
      <c r="E75" s="418">
        <f t="shared" si="5"/>
        <v>0</v>
      </c>
      <c r="F75" s="418" t="str">
        <f t="shared" si="18"/>
        <v> </v>
      </c>
      <c r="G75" s="411">
        <f>D75-'[9]Marts'!D75</f>
        <v>0</v>
      </c>
      <c r="H75" s="421" t="s">
        <v>462</v>
      </c>
      <c r="I75" s="422">
        <f>SUM(I76:I77)</f>
        <v>449</v>
      </c>
      <c r="J75" s="422">
        <f>SUM(J76:J77)</f>
        <v>0</v>
      </c>
      <c r="K75" s="422">
        <f>SUM(K76:K77)</f>
        <v>0</v>
      </c>
      <c r="L75" s="423">
        <f t="shared" si="10"/>
        <v>0</v>
      </c>
      <c r="M75" s="175"/>
      <c r="N75" s="422">
        <f>K75-'[9]Marts'!K75</f>
        <v>0</v>
      </c>
    </row>
    <row r="76" spans="1:14" ht="12.75">
      <c r="A76" s="115" t="s">
        <v>185</v>
      </c>
      <c r="B76" s="169">
        <v>48600</v>
      </c>
      <c r="C76" s="169">
        <v>0</v>
      </c>
      <c r="D76" s="169"/>
      <c r="E76" s="418">
        <f t="shared" si="5"/>
        <v>0</v>
      </c>
      <c r="F76" s="418" t="str">
        <f t="shared" si="18"/>
        <v> </v>
      </c>
      <c r="G76" s="411">
        <f>D76-'[9]Marts'!D76</f>
        <v>0</v>
      </c>
      <c r="H76" s="115" t="s">
        <v>185</v>
      </c>
      <c r="I76" s="169">
        <f aca="true" t="shared" si="20" ref="I76:K77">ROUND(B76/1000,0)</f>
        <v>49</v>
      </c>
      <c r="J76" s="169">
        <f t="shared" si="20"/>
        <v>0</v>
      </c>
      <c r="K76" s="169">
        <f t="shared" si="20"/>
        <v>0</v>
      </c>
      <c r="L76" s="424">
        <f t="shared" si="10"/>
        <v>0</v>
      </c>
      <c r="M76" s="166"/>
      <c r="N76" s="169">
        <f>K76-'[9]Marts'!K76</f>
        <v>0</v>
      </c>
    </row>
    <row r="77" spans="1:14" ht="12.75">
      <c r="A77" s="115" t="s">
        <v>186</v>
      </c>
      <c r="B77" s="169">
        <v>400000</v>
      </c>
      <c r="C77" s="169">
        <v>0</v>
      </c>
      <c r="D77" s="169"/>
      <c r="E77" s="418">
        <f t="shared" si="5"/>
        <v>0</v>
      </c>
      <c r="F77" s="418" t="str">
        <f t="shared" si="18"/>
        <v> </v>
      </c>
      <c r="G77" s="411">
        <f>D77-'[9]Marts'!D77</f>
        <v>0</v>
      </c>
      <c r="H77" s="115" t="s">
        <v>186</v>
      </c>
      <c r="I77" s="169">
        <f t="shared" si="20"/>
        <v>400</v>
      </c>
      <c r="J77" s="169">
        <f t="shared" si="20"/>
        <v>0</v>
      </c>
      <c r="K77" s="169">
        <f t="shared" si="20"/>
        <v>0</v>
      </c>
      <c r="L77" s="424">
        <f t="shared" si="10"/>
        <v>0</v>
      </c>
      <c r="M77" s="166"/>
      <c r="N77" s="169">
        <f>K77-'[9]Marts'!K77</f>
        <v>0</v>
      </c>
    </row>
    <row r="78" spans="1:14" s="2" customFormat="1" ht="36">
      <c r="A78" s="177" t="s">
        <v>213</v>
      </c>
      <c r="B78" s="425">
        <f>B79+B81</f>
        <v>1485236</v>
      </c>
      <c r="C78" s="425">
        <f>C79+C81</f>
        <v>694606</v>
      </c>
      <c r="D78" s="425">
        <f>D79+D81</f>
        <v>219670</v>
      </c>
      <c r="E78" s="420">
        <f t="shared" si="5"/>
        <v>0.1479024208947265</v>
      </c>
      <c r="F78" s="420">
        <f t="shared" si="18"/>
        <v>0.3162512273144776</v>
      </c>
      <c r="G78" s="411">
        <f>D78-'[9]Marts'!D78</f>
        <v>8846</v>
      </c>
      <c r="H78" s="177" t="s">
        <v>213</v>
      </c>
      <c r="I78" s="167">
        <f>I79+I81</f>
        <v>1485</v>
      </c>
      <c r="J78" s="167">
        <f>J79+J81</f>
        <v>695</v>
      </c>
      <c r="K78" s="167">
        <f>K79+K81</f>
        <v>220</v>
      </c>
      <c r="L78" s="419">
        <f t="shared" si="10"/>
        <v>0.14814814814814814</v>
      </c>
      <c r="M78" s="163">
        <f>IF(ISERROR(ROUND(K78,0)/ROUND(J78,0))," ",(ROUND(K78,)/ROUND(J78,)))</f>
        <v>0.31654676258992803</v>
      </c>
      <c r="N78" s="167">
        <f>K78-'[9]Marts'!K78</f>
        <v>9</v>
      </c>
    </row>
    <row r="79" spans="1:14" s="82" customFormat="1" ht="12.75">
      <c r="A79" s="421" t="s">
        <v>461</v>
      </c>
      <c r="B79" s="422">
        <f>SUM(B80:B80)</f>
        <v>1356638</v>
      </c>
      <c r="C79" s="422">
        <f>SUM(C80:C80)</f>
        <v>652744</v>
      </c>
      <c r="D79" s="422">
        <f>SUM(D80:D80)</f>
        <v>190686</v>
      </c>
      <c r="E79" s="418">
        <f t="shared" si="5"/>
        <v>0.14055776117136629</v>
      </c>
      <c r="F79" s="418">
        <f t="shared" si="18"/>
        <v>0.2921298395695709</v>
      </c>
      <c r="G79" s="411">
        <f>D79-'[9]Marts'!D79</f>
        <v>0</v>
      </c>
      <c r="H79" s="421" t="s">
        <v>461</v>
      </c>
      <c r="I79" s="422">
        <f>I80</f>
        <v>1357</v>
      </c>
      <c r="J79" s="422">
        <f>J80</f>
        <v>653</v>
      </c>
      <c r="K79" s="422">
        <f>K80</f>
        <v>191</v>
      </c>
      <c r="L79" s="423">
        <f t="shared" si="10"/>
        <v>0.14075165806927045</v>
      </c>
      <c r="M79" s="423">
        <f>IF(ISERROR(ROUND(K79,0)/ROUND(J79,0))," ",(ROUND(K79,)/ROUND(J79,)))</f>
        <v>0.29249617151607965</v>
      </c>
      <c r="N79" s="422">
        <f>K79-'[9]Marts'!K79</f>
        <v>0</v>
      </c>
    </row>
    <row r="80" spans="1:14" ht="12.75">
      <c r="A80" s="115" t="s">
        <v>185</v>
      </c>
      <c r="B80" s="169">
        <v>1356638</v>
      </c>
      <c r="C80" s="169">
        <v>652744</v>
      </c>
      <c r="D80" s="169">
        <v>190686</v>
      </c>
      <c r="E80" s="418">
        <f t="shared" si="5"/>
        <v>0.14055776117136629</v>
      </c>
      <c r="F80" s="418">
        <f t="shared" si="18"/>
        <v>0.2921298395695709</v>
      </c>
      <c r="G80" s="411">
        <f>D80-'[9]Marts'!D80</f>
        <v>0</v>
      </c>
      <c r="H80" s="115" t="s">
        <v>185</v>
      </c>
      <c r="I80" s="169">
        <f>ROUND(B80/1000,0)</f>
        <v>1357</v>
      </c>
      <c r="J80" s="169">
        <f>ROUND(C80/1000,0)</f>
        <v>653</v>
      </c>
      <c r="K80" s="169">
        <f>ROUND(D80/1000,0)</f>
        <v>191</v>
      </c>
      <c r="L80" s="424">
        <f t="shared" si="10"/>
        <v>0.14075165806927045</v>
      </c>
      <c r="M80" s="424">
        <f>IF(ISERROR(ROUND(K80,0)/ROUND(J80,0))," ",(ROUND(K80,)/ROUND(J80,)))</f>
        <v>0.29249617151607965</v>
      </c>
      <c r="N80" s="169">
        <f>K80-'[9]Marts'!K80</f>
        <v>0</v>
      </c>
    </row>
    <row r="81" spans="1:14" s="82" customFormat="1" ht="12.75">
      <c r="A81" s="421" t="s">
        <v>462</v>
      </c>
      <c r="B81" s="422">
        <f>B82</f>
        <v>128598</v>
      </c>
      <c r="C81" s="422">
        <f>C82</f>
        <v>41862</v>
      </c>
      <c r="D81" s="422">
        <f>D82</f>
        <v>28984</v>
      </c>
      <c r="E81" s="418">
        <f t="shared" si="5"/>
        <v>0.2253845316412386</v>
      </c>
      <c r="F81" s="418">
        <f t="shared" si="18"/>
        <v>0.6923701686493717</v>
      </c>
      <c r="G81" s="411">
        <f>D81-'[9]Marts'!D81</f>
        <v>8846</v>
      </c>
      <c r="H81" s="421" t="s">
        <v>462</v>
      </c>
      <c r="I81" s="422">
        <f>I82</f>
        <v>128</v>
      </c>
      <c r="J81" s="422">
        <f>J82</f>
        <v>42</v>
      </c>
      <c r="K81" s="422">
        <f>K82</f>
        <v>29</v>
      </c>
      <c r="L81" s="423">
        <f t="shared" si="10"/>
        <v>0.2265625</v>
      </c>
      <c r="M81" s="175">
        <f>IF(ISERROR(ROUND(K81,0)/ROUND(J81,0))," ",(ROUND(K81,)/ROUND(J81,)))</f>
        <v>0.6904761904761905</v>
      </c>
      <c r="N81" s="422">
        <f>K81-'[9]Marts'!K81</f>
        <v>9</v>
      </c>
    </row>
    <row r="82" spans="1:14" ht="12.75">
      <c r="A82" s="115" t="s">
        <v>185</v>
      </c>
      <c r="B82" s="169">
        <v>128598</v>
      </c>
      <c r="C82" s="169">
        <v>41862</v>
      </c>
      <c r="D82" s="169">
        <v>28984</v>
      </c>
      <c r="E82" s="418">
        <f t="shared" si="5"/>
        <v>0.2253845316412386</v>
      </c>
      <c r="F82" s="418">
        <f t="shared" si="18"/>
        <v>0.6923701686493717</v>
      </c>
      <c r="G82" s="411">
        <f>D82-'[9]Marts'!D82</f>
        <v>8846</v>
      </c>
      <c r="H82" s="115" t="s">
        <v>185</v>
      </c>
      <c r="I82" s="169">
        <f>ROUND(B82/1000,0)-1</f>
        <v>128</v>
      </c>
      <c r="J82" s="169">
        <f>ROUND(C82/1000,0)</f>
        <v>42</v>
      </c>
      <c r="K82" s="169">
        <f>ROUND(D82/1000,0)</f>
        <v>29</v>
      </c>
      <c r="L82" s="424">
        <f t="shared" si="10"/>
        <v>0.2265625</v>
      </c>
      <c r="M82" s="166">
        <f>IF(ISERROR(ROUND(K82,0)/ROUND(J82,0))," ",(ROUND(K82,)/ROUND(J82,)))</f>
        <v>0.6904761904761905</v>
      </c>
      <c r="N82" s="169">
        <f>K82-'[9]Marts'!K82</f>
        <v>9</v>
      </c>
    </row>
    <row r="83" spans="1:14" s="2" customFormat="1" ht="36">
      <c r="A83" s="177" t="s">
        <v>215</v>
      </c>
      <c r="B83" s="167">
        <f aca="true" t="shared" si="21" ref="B83:D84">B84</f>
        <v>1828380</v>
      </c>
      <c r="C83" s="167">
        <f t="shared" si="21"/>
        <v>506126</v>
      </c>
      <c r="D83" s="167">
        <f t="shared" si="21"/>
        <v>0</v>
      </c>
      <c r="E83" s="420">
        <f t="shared" si="5"/>
        <v>0</v>
      </c>
      <c r="F83" s="420">
        <f t="shared" si="18"/>
        <v>0</v>
      </c>
      <c r="G83" s="411">
        <f>D83-'[9]Marts'!D83</f>
        <v>0</v>
      </c>
      <c r="H83" s="177" t="s">
        <v>215</v>
      </c>
      <c r="I83" s="167">
        <f aca="true" t="shared" si="22" ref="I83:K84">I84</f>
        <v>1828</v>
      </c>
      <c r="J83" s="167">
        <f t="shared" si="22"/>
        <v>506</v>
      </c>
      <c r="K83" s="167">
        <f t="shared" si="22"/>
        <v>0</v>
      </c>
      <c r="L83" s="419">
        <f t="shared" si="10"/>
        <v>0</v>
      </c>
      <c r="M83" s="166"/>
      <c r="N83" s="167">
        <f>K83-'[9]Marts'!K83</f>
        <v>0</v>
      </c>
    </row>
    <row r="84" spans="1:14" s="82" customFormat="1" ht="12.75">
      <c r="A84" s="421" t="s">
        <v>461</v>
      </c>
      <c r="B84" s="422">
        <f t="shared" si="21"/>
        <v>1828380</v>
      </c>
      <c r="C84" s="422">
        <f t="shared" si="21"/>
        <v>506126</v>
      </c>
      <c r="D84" s="422">
        <f t="shared" si="21"/>
        <v>0</v>
      </c>
      <c r="E84" s="418">
        <f t="shared" si="5"/>
        <v>0</v>
      </c>
      <c r="F84" s="418">
        <f t="shared" si="18"/>
        <v>0</v>
      </c>
      <c r="G84" s="411">
        <f>D84-'[9]Marts'!D84</f>
        <v>0</v>
      </c>
      <c r="H84" s="421" t="s">
        <v>461</v>
      </c>
      <c r="I84" s="422">
        <f t="shared" si="22"/>
        <v>1828</v>
      </c>
      <c r="J84" s="422">
        <f t="shared" si="22"/>
        <v>506</v>
      </c>
      <c r="K84" s="422">
        <f t="shared" si="22"/>
        <v>0</v>
      </c>
      <c r="L84" s="423">
        <f t="shared" si="10"/>
        <v>0</v>
      </c>
      <c r="M84" s="166"/>
      <c r="N84" s="422">
        <f>K84-'[9]Marts'!K84</f>
        <v>0</v>
      </c>
    </row>
    <row r="85" spans="1:14" ht="12.75">
      <c r="A85" s="115" t="s">
        <v>185</v>
      </c>
      <c r="B85" s="169">
        <v>1828380</v>
      </c>
      <c r="C85" s="169">
        <v>506126</v>
      </c>
      <c r="D85" s="169"/>
      <c r="E85" s="418">
        <f t="shared" si="5"/>
        <v>0</v>
      </c>
      <c r="F85" s="418">
        <f t="shared" si="18"/>
        <v>0</v>
      </c>
      <c r="G85" s="411">
        <f>D85-'[9]Marts'!D85</f>
        <v>0</v>
      </c>
      <c r="H85" s="115" t="s">
        <v>185</v>
      </c>
      <c r="I85" s="169">
        <f>ROUND(B85/1000,0)</f>
        <v>1828</v>
      </c>
      <c r="J85" s="169">
        <f>ROUND(C85/1000,0)</f>
        <v>506</v>
      </c>
      <c r="K85" s="169">
        <f>ROUND(D85/1000,0)</f>
        <v>0</v>
      </c>
      <c r="L85" s="424">
        <f t="shared" si="10"/>
        <v>0</v>
      </c>
      <c r="M85" s="166"/>
      <c r="N85" s="169">
        <f>K85-'[9]Marts'!K85</f>
        <v>0</v>
      </c>
    </row>
    <row r="86" spans="1:104" ht="38.25">
      <c r="A86" s="410" t="s">
        <v>465</v>
      </c>
      <c r="B86" s="426">
        <f>B87+B89</f>
        <v>7653852</v>
      </c>
      <c r="C86" s="426">
        <f>C87+C89</f>
        <v>872600</v>
      </c>
      <c r="D86" s="426">
        <f>D87+D89</f>
        <v>304205</v>
      </c>
      <c r="E86" s="412">
        <f t="shared" si="5"/>
        <v>0.03974534652616748</v>
      </c>
      <c r="F86" s="412">
        <f t="shared" si="18"/>
        <v>0.34861906944762777</v>
      </c>
      <c r="G86" s="411">
        <f>D86-'[9]Marts'!D86</f>
        <v>35296</v>
      </c>
      <c r="H86" s="410" t="s">
        <v>465</v>
      </c>
      <c r="I86" s="214">
        <f>I87+I89</f>
        <v>7654</v>
      </c>
      <c r="J86" s="214">
        <f>J87+J89</f>
        <v>873</v>
      </c>
      <c r="K86" s="214">
        <f>K87+K89</f>
        <v>304</v>
      </c>
      <c r="L86" s="413">
        <f t="shared" si="10"/>
        <v>0.03971779461719362</v>
      </c>
      <c r="M86" s="413">
        <f aca="true" t="shared" si="23" ref="M86:M95">IF(ISERROR(ROUND(K86,0)/ROUND(J86,0))," ",(ROUND(K86,)/ROUND(J86,)))</f>
        <v>0.34822451317296677</v>
      </c>
      <c r="N86" s="214">
        <f>K86-'[9]Marts'!K86</f>
        <v>35</v>
      </c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</row>
    <row r="87" spans="1:104" s="84" customFormat="1" ht="15" customHeight="1">
      <c r="A87" s="415" t="s">
        <v>377</v>
      </c>
      <c r="B87" s="411">
        <f>B88</f>
        <v>3371252</v>
      </c>
      <c r="C87" s="411">
        <f>C88</f>
        <v>480600</v>
      </c>
      <c r="D87" s="411">
        <f>D88</f>
        <v>190057</v>
      </c>
      <c r="E87" s="412">
        <f t="shared" si="5"/>
        <v>0.05637579154569282</v>
      </c>
      <c r="F87" s="412">
        <f t="shared" si="18"/>
        <v>0.39545776113191844</v>
      </c>
      <c r="G87" s="411">
        <f>D87-'[9]Marts'!D87</f>
        <v>35296</v>
      </c>
      <c r="H87" s="415" t="s">
        <v>377</v>
      </c>
      <c r="I87" s="427">
        <f>I88</f>
        <v>3371</v>
      </c>
      <c r="J87" s="427">
        <f>J88</f>
        <v>481</v>
      </c>
      <c r="K87" s="427">
        <f>K88</f>
        <v>190</v>
      </c>
      <c r="L87" s="413">
        <f t="shared" si="10"/>
        <v>0.05636309700385642</v>
      </c>
      <c r="M87" s="413">
        <f t="shared" si="23"/>
        <v>0.39501039501039503</v>
      </c>
      <c r="N87" s="427">
        <f>K87-'[9]Marts'!K87</f>
        <v>35</v>
      </c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</row>
    <row r="88" spans="1:14" ht="12.75">
      <c r="A88" s="216" t="s">
        <v>186</v>
      </c>
      <c r="B88" s="425">
        <f>B93</f>
        <v>3371252</v>
      </c>
      <c r="C88" s="425">
        <f>C93</f>
        <v>480600</v>
      </c>
      <c r="D88" s="425">
        <f>D93</f>
        <v>190057</v>
      </c>
      <c r="E88" s="418">
        <f aca="true" t="shared" si="24" ref="E88:E95">IF(ISERROR(D88/B88)," ",(D88/B88))</f>
        <v>0.05637579154569282</v>
      </c>
      <c r="F88" s="418">
        <f t="shared" si="18"/>
        <v>0.39545776113191844</v>
      </c>
      <c r="G88" s="411">
        <f>D88-'[9]Marts'!D88</f>
        <v>35296</v>
      </c>
      <c r="H88" s="216" t="s">
        <v>186</v>
      </c>
      <c r="I88" s="167">
        <f>I93</f>
        <v>3371</v>
      </c>
      <c r="J88" s="68">
        <f>J93</f>
        <v>481</v>
      </c>
      <c r="K88" s="68">
        <f>K93</f>
        <v>190</v>
      </c>
      <c r="L88" s="419">
        <f t="shared" si="10"/>
        <v>0.05636309700385642</v>
      </c>
      <c r="M88" s="419">
        <f t="shared" si="23"/>
        <v>0.39501039501039503</v>
      </c>
      <c r="N88" s="68">
        <f>K88-'[9]Marts'!K88</f>
        <v>35</v>
      </c>
    </row>
    <row r="89" spans="1:104" s="84" customFormat="1" ht="15" customHeight="1">
      <c r="A89" s="415" t="s">
        <v>466</v>
      </c>
      <c r="B89" s="411">
        <f>B90</f>
        <v>4282600</v>
      </c>
      <c r="C89" s="411">
        <f>C90</f>
        <v>392000</v>
      </c>
      <c r="D89" s="411">
        <f>D90</f>
        <v>114148</v>
      </c>
      <c r="E89" s="412">
        <f t="shared" si="24"/>
        <v>0.026653901835333674</v>
      </c>
      <c r="F89" s="412">
        <f t="shared" si="18"/>
        <v>0.2911938775510204</v>
      </c>
      <c r="G89" s="411">
        <f>D89-'[9]Marts'!D89</f>
        <v>0</v>
      </c>
      <c r="H89" s="415" t="s">
        <v>466</v>
      </c>
      <c r="I89" s="214">
        <f>I90</f>
        <v>4283</v>
      </c>
      <c r="J89" s="214">
        <f>J90</f>
        <v>392</v>
      </c>
      <c r="K89" s="214">
        <f>K90</f>
        <v>114</v>
      </c>
      <c r="L89" s="413">
        <f t="shared" si="10"/>
        <v>0.02661685734298389</v>
      </c>
      <c r="M89" s="413">
        <f t="shared" si="23"/>
        <v>0.29081632653061223</v>
      </c>
      <c r="N89" s="214">
        <f>K89-'[9]Marts'!K89</f>
        <v>0</v>
      </c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</row>
    <row r="90" spans="1:14" ht="12.75">
      <c r="A90" s="216" t="s">
        <v>186</v>
      </c>
      <c r="B90" s="425">
        <f>B95</f>
        <v>4282600</v>
      </c>
      <c r="C90" s="425">
        <f>C95</f>
        <v>392000</v>
      </c>
      <c r="D90" s="425">
        <f>D95</f>
        <v>114148</v>
      </c>
      <c r="E90" s="418">
        <f t="shared" si="24"/>
        <v>0.026653901835333674</v>
      </c>
      <c r="F90" s="418">
        <f t="shared" si="18"/>
        <v>0.2911938775510204</v>
      </c>
      <c r="G90" s="411">
        <f>D90-'[9]Marts'!D90</f>
        <v>0</v>
      </c>
      <c r="H90" s="216" t="s">
        <v>186</v>
      </c>
      <c r="I90" s="167">
        <f>I95</f>
        <v>4283</v>
      </c>
      <c r="J90" s="68">
        <f>J95</f>
        <v>392</v>
      </c>
      <c r="K90" s="68">
        <f>K95</f>
        <v>114</v>
      </c>
      <c r="L90" s="419">
        <f t="shared" si="10"/>
        <v>0.02661685734298389</v>
      </c>
      <c r="M90" s="419">
        <f t="shared" si="23"/>
        <v>0.29081632653061223</v>
      </c>
      <c r="N90" s="68">
        <f>K90-'[9]Marts'!K90</f>
        <v>0</v>
      </c>
    </row>
    <row r="91" spans="1:14" s="2" customFormat="1" ht="12.75">
      <c r="A91" s="177" t="s">
        <v>198</v>
      </c>
      <c r="B91" s="167">
        <f>B92+B94</f>
        <v>7653852</v>
      </c>
      <c r="C91" s="167">
        <f>C92+C94</f>
        <v>872600</v>
      </c>
      <c r="D91" s="167">
        <f>D92+D94</f>
        <v>304205</v>
      </c>
      <c r="E91" s="420">
        <f t="shared" si="24"/>
        <v>0.03974534652616748</v>
      </c>
      <c r="F91" s="420">
        <f t="shared" si="18"/>
        <v>0.34861906944762777</v>
      </c>
      <c r="G91" s="411">
        <f>D91-'[9]Marts'!D91</f>
        <v>35296</v>
      </c>
      <c r="H91" s="177" t="s">
        <v>198</v>
      </c>
      <c r="I91" s="167">
        <f>I92+I94</f>
        <v>7654</v>
      </c>
      <c r="J91" s="167">
        <f>J92+J94</f>
        <v>873</v>
      </c>
      <c r="K91" s="167">
        <f>K92+K94</f>
        <v>304</v>
      </c>
      <c r="L91" s="419">
        <f t="shared" si="10"/>
        <v>0.03971779461719362</v>
      </c>
      <c r="M91" s="419">
        <f t="shared" si="23"/>
        <v>0.34822451317296677</v>
      </c>
      <c r="N91" s="167">
        <f>K91-'[9]Marts'!K91</f>
        <v>35</v>
      </c>
    </row>
    <row r="92" spans="1:14" s="82" customFormat="1" ht="12.75">
      <c r="A92" s="421" t="s">
        <v>461</v>
      </c>
      <c r="B92" s="422">
        <f>B93</f>
        <v>3371252</v>
      </c>
      <c r="C92" s="422">
        <f>C93</f>
        <v>480600</v>
      </c>
      <c r="D92" s="422">
        <f>D93</f>
        <v>190057</v>
      </c>
      <c r="E92" s="418">
        <f t="shared" si="24"/>
        <v>0.05637579154569282</v>
      </c>
      <c r="F92" s="418">
        <f t="shared" si="18"/>
        <v>0.39545776113191844</v>
      </c>
      <c r="G92" s="411">
        <f>D92-'[9]Marts'!D92</f>
        <v>35296</v>
      </c>
      <c r="H92" s="421" t="s">
        <v>461</v>
      </c>
      <c r="I92" s="422">
        <f>I93</f>
        <v>3371</v>
      </c>
      <c r="J92" s="422">
        <f>J93</f>
        <v>481</v>
      </c>
      <c r="K92" s="422">
        <f>K93</f>
        <v>190</v>
      </c>
      <c r="L92" s="423">
        <f t="shared" si="10"/>
        <v>0.05636309700385642</v>
      </c>
      <c r="M92" s="423">
        <f t="shared" si="23"/>
        <v>0.39501039501039503</v>
      </c>
      <c r="N92" s="422">
        <f>K92-'[9]Marts'!K92</f>
        <v>35</v>
      </c>
    </row>
    <row r="93" spans="1:104" s="54" customFormat="1" ht="12.75">
      <c r="A93" s="115" t="s">
        <v>186</v>
      </c>
      <c r="B93" s="169">
        <v>3371252</v>
      </c>
      <c r="C93" s="169">
        <v>480600</v>
      </c>
      <c r="D93" s="169">
        <v>190057</v>
      </c>
      <c r="E93" s="418">
        <f t="shared" si="24"/>
        <v>0.05637579154569282</v>
      </c>
      <c r="F93" s="418">
        <f t="shared" si="18"/>
        <v>0.39545776113191844</v>
      </c>
      <c r="G93" s="411">
        <f>D93-'[9]Marts'!D93</f>
        <v>35296</v>
      </c>
      <c r="H93" s="115" t="s">
        <v>186</v>
      </c>
      <c r="I93" s="169">
        <f>ROUND(B93/1000,0)</f>
        <v>3371</v>
      </c>
      <c r="J93" s="169">
        <f>ROUND(C93/1000,0)</f>
        <v>481</v>
      </c>
      <c r="K93" s="169">
        <f>ROUND(D93/1000,0)</f>
        <v>190</v>
      </c>
      <c r="L93" s="424">
        <f t="shared" si="10"/>
        <v>0.05636309700385642</v>
      </c>
      <c r="M93" s="424">
        <f t="shared" si="23"/>
        <v>0.39501039501039503</v>
      </c>
      <c r="N93" s="169">
        <f>K93-'[9]Marts'!K93</f>
        <v>35</v>
      </c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</row>
    <row r="94" spans="1:14" s="82" customFormat="1" ht="12.75">
      <c r="A94" s="421" t="s">
        <v>467</v>
      </c>
      <c r="B94" s="422">
        <f>B95</f>
        <v>4282600</v>
      </c>
      <c r="C94" s="422">
        <f>C95</f>
        <v>392000</v>
      </c>
      <c r="D94" s="422">
        <f>D95</f>
        <v>114148</v>
      </c>
      <c r="E94" s="418">
        <f t="shared" si="24"/>
        <v>0.026653901835333674</v>
      </c>
      <c r="F94" s="418">
        <f t="shared" si="18"/>
        <v>0.2911938775510204</v>
      </c>
      <c r="G94" s="411">
        <f>D94-'[9]Marts'!D94</f>
        <v>0</v>
      </c>
      <c r="H94" s="421" t="s">
        <v>467</v>
      </c>
      <c r="I94" s="422">
        <f>I95</f>
        <v>4283</v>
      </c>
      <c r="J94" s="422">
        <f>J95</f>
        <v>392</v>
      </c>
      <c r="K94" s="422">
        <f>K95</f>
        <v>114</v>
      </c>
      <c r="L94" s="423">
        <f t="shared" si="10"/>
        <v>0.02661685734298389</v>
      </c>
      <c r="M94" s="423">
        <f t="shared" si="23"/>
        <v>0.29081632653061223</v>
      </c>
      <c r="N94" s="422">
        <f>K94-'[9]Marts'!K94</f>
        <v>0</v>
      </c>
    </row>
    <row r="95" spans="1:104" s="54" customFormat="1" ht="12.75">
      <c r="A95" s="115" t="s">
        <v>186</v>
      </c>
      <c r="B95" s="169">
        <v>4282600</v>
      </c>
      <c r="C95" s="169">
        <v>392000</v>
      </c>
      <c r="D95" s="169">
        <v>114148</v>
      </c>
      <c r="E95" s="418">
        <f t="shared" si="24"/>
        <v>0.026653901835333674</v>
      </c>
      <c r="F95" s="418">
        <f t="shared" si="18"/>
        <v>0.2911938775510204</v>
      </c>
      <c r="G95" s="411">
        <f>D95-'[9]Marts'!D95</f>
        <v>0</v>
      </c>
      <c r="H95" s="115" t="s">
        <v>186</v>
      </c>
      <c r="I95" s="169">
        <f>ROUND(B95/1000,0)</f>
        <v>4283</v>
      </c>
      <c r="J95" s="169">
        <f>ROUND(C95/1000,0)</f>
        <v>392</v>
      </c>
      <c r="K95" s="169">
        <f>ROUND(D95/1000,0)</f>
        <v>114</v>
      </c>
      <c r="L95" s="424">
        <f t="shared" si="10"/>
        <v>0.02661685734298389</v>
      </c>
      <c r="M95" s="424">
        <f t="shared" si="23"/>
        <v>0.29081632653061223</v>
      </c>
      <c r="N95" s="169">
        <f>K95-'[9]Marts'!K95</f>
        <v>0</v>
      </c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</row>
    <row r="96" spans="1:104" s="84" customFormat="1" ht="15" customHeight="1">
      <c r="A96" s="415" t="s">
        <v>468</v>
      </c>
      <c r="B96" s="428" t="s">
        <v>279</v>
      </c>
      <c r="C96" s="428" t="s">
        <v>279</v>
      </c>
      <c r="D96" s="411">
        <f>D97+D98</f>
        <v>3055660</v>
      </c>
      <c r="E96" s="429" t="s">
        <v>279</v>
      </c>
      <c r="F96" s="429" t="s">
        <v>279</v>
      </c>
      <c r="G96" s="411">
        <f>D96-'[9]Marts'!D96</f>
        <v>1406408</v>
      </c>
      <c r="H96" s="415" t="s">
        <v>468</v>
      </c>
      <c r="I96" s="428" t="s">
        <v>279</v>
      </c>
      <c r="J96" s="428" t="s">
        <v>279</v>
      </c>
      <c r="K96" s="214">
        <f>K97+K98</f>
        <v>3055</v>
      </c>
      <c r="L96" s="428" t="s">
        <v>279</v>
      </c>
      <c r="M96" s="428" t="s">
        <v>279</v>
      </c>
      <c r="N96" s="214">
        <f>K96-'[9]Marts'!K96</f>
        <v>1406</v>
      </c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</row>
    <row r="97" spans="1:104" s="54" customFormat="1" ht="12.75">
      <c r="A97" s="115" t="s">
        <v>185</v>
      </c>
      <c r="B97" s="169"/>
      <c r="C97" s="169"/>
      <c r="D97" s="169">
        <f>1386153+120753+171374</f>
        <v>1678280</v>
      </c>
      <c r="E97" s="418"/>
      <c r="F97" s="418"/>
      <c r="G97" s="411">
        <f>D97-'[9]Marts'!D97</f>
        <v>171374</v>
      </c>
      <c r="H97" s="115" t="s">
        <v>185</v>
      </c>
      <c r="I97" s="430" t="s">
        <v>279</v>
      </c>
      <c r="J97" s="430" t="s">
        <v>279</v>
      </c>
      <c r="K97" s="169">
        <f>ROUND(D97/1000,0)</f>
        <v>1678</v>
      </c>
      <c r="L97" s="430" t="s">
        <v>279</v>
      </c>
      <c r="M97" s="430" t="s">
        <v>279</v>
      </c>
      <c r="N97" s="169">
        <f>K97-'[9]Marts'!K97</f>
        <v>171</v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</row>
    <row r="98" spans="1:104" s="54" customFormat="1" ht="12.75">
      <c r="A98" s="115" t="s">
        <v>186</v>
      </c>
      <c r="B98" s="169"/>
      <c r="C98" s="169"/>
      <c r="D98" s="169">
        <v>1377380</v>
      </c>
      <c r="E98" s="418"/>
      <c r="F98" s="418"/>
      <c r="G98" s="411">
        <f>D98-'[9]Marts'!D98</f>
        <v>1235034</v>
      </c>
      <c r="H98" s="115" t="s">
        <v>186</v>
      </c>
      <c r="I98" s="430" t="s">
        <v>279</v>
      </c>
      <c r="J98" s="430" t="s">
        <v>279</v>
      </c>
      <c r="K98" s="169">
        <f>ROUND(D98/1000,0)</f>
        <v>1377</v>
      </c>
      <c r="L98" s="430" t="s">
        <v>279</v>
      </c>
      <c r="M98" s="430" t="s">
        <v>279</v>
      </c>
      <c r="N98" s="169">
        <f>K98-'[9]Marts'!K98</f>
        <v>1235</v>
      </c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</row>
    <row r="99" spans="7:14" ht="12.75">
      <c r="G99" s="2"/>
      <c r="H99" s="2"/>
      <c r="I99" s="2"/>
      <c r="J99" s="2"/>
      <c r="K99" s="2"/>
      <c r="L99" s="2"/>
      <c r="M99" s="2"/>
      <c r="N99" s="2"/>
    </row>
    <row r="100" spans="7:14" ht="12.75">
      <c r="G100" s="2"/>
      <c r="H100" s="2"/>
      <c r="I100" s="2"/>
      <c r="J100" s="2"/>
      <c r="K100" s="2"/>
      <c r="L100" s="2"/>
      <c r="M100" s="2"/>
      <c r="N100" s="2"/>
    </row>
    <row r="101" spans="7:14" ht="12.75"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408" t="s">
        <v>218</v>
      </c>
      <c r="B102" s="431"/>
      <c r="C102" s="432"/>
      <c r="D102" s="433"/>
      <c r="E102" s="433"/>
      <c r="F102" s="434"/>
      <c r="G102" s="2"/>
      <c r="H102" s="408"/>
      <c r="I102" s="431"/>
      <c r="J102" s="432"/>
      <c r="K102" s="433"/>
      <c r="L102" s="433"/>
      <c r="M102" s="434"/>
      <c r="N102" s="2"/>
    </row>
    <row r="104" spans="1:14" ht="12.75">
      <c r="A104" s="2"/>
      <c r="B104" s="435"/>
      <c r="C104" s="436"/>
      <c r="D104" s="436"/>
      <c r="E104" s="437"/>
      <c r="F104" s="438"/>
      <c r="G104" s="2"/>
      <c r="H104" s="2"/>
      <c r="M104" s="434"/>
      <c r="N104" s="2"/>
    </row>
    <row r="105" spans="1:14" ht="12.75">
      <c r="A105" s="2"/>
      <c r="B105" s="435"/>
      <c r="C105" s="436"/>
      <c r="D105" s="436"/>
      <c r="E105" s="437"/>
      <c r="F105" s="438"/>
      <c r="G105" s="2"/>
      <c r="H105" s="2"/>
      <c r="I105" s="435"/>
      <c r="J105" s="436"/>
      <c r="K105" s="436"/>
      <c r="L105" s="437"/>
      <c r="M105" s="438"/>
      <c r="N105" s="2"/>
    </row>
    <row r="106" spans="1:14" ht="12.75">
      <c r="A106" s="39"/>
      <c r="B106" s="439"/>
      <c r="C106" s="436" t="s">
        <v>219</v>
      </c>
      <c r="D106" s="440"/>
      <c r="E106" s="441"/>
      <c r="F106" s="442"/>
      <c r="G106" s="2"/>
      <c r="H106" s="32" t="s">
        <v>218</v>
      </c>
      <c r="I106" s="431"/>
      <c r="J106" s="432"/>
      <c r="K106" s="433"/>
      <c r="L106" s="433"/>
      <c r="M106" s="442"/>
      <c r="N106" s="2"/>
    </row>
    <row r="108" spans="7:14" ht="12.75">
      <c r="G108" s="2"/>
      <c r="H108" s="2"/>
      <c r="I108" s="2"/>
      <c r="J108" s="2"/>
      <c r="K108" s="2"/>
      <c r="L108" s="2"/>
      <c r="M108" s="2"/>
      <c r="N108" s="2"/>
    </row>
    <row r="109" spans="7:14" ht="12.75">
      <c r="G109" s="2"/>
      <c r="H109" s="2"/>
      <c r="I109" s="2"/>
      <c r="J109" s="2"/>
      <c r="K109" s="2"/>
      <c r="L109" s="2"/>
      <c r="M109" s="2"/>
      <c r="N109" s="2"/>
    </row>
    <row r="110" spans="7:14" ht="12.75">
      <c r="G110" s="2"/>
      <c r="H110" s="2"/>
      <c r="I110" s="2"/>
      <c r="J110" s="2"/>
      <c r="K110" s="2"/>
      <c r="L110" s="2"/>
      <c r="M110" s="2"/>
      <c r="N110" s="2"/>
    </row>
    <row r="111" spans="7:14" ht="12.75">
      <c r="G111" s="2"/>
      <c r="H111" s="2"/>
      <c r="I111" s="2"/>
      <c r="J111" s="2"/>
      <c r="K111" s="2"/>
      <c r="L111" s="2"/>
      <c r="M111" s="2"/>
      <c r="N111" s="2"/>
    </row>
    <row r="112" spans="7:14" ht="12.75">
      <c r="G112" s="2"/>
      <c r="I112" s="2"/>
      <c r="J112" s="2"/>
      <c r="K112" s="2"/>
      <c r="L112" s="2"/>
      <c r="M112" s="2"/>
      <c r="N112" s="2"/>
    </row>
    <row r="113" spans="7:14" ht="12.75">
      <c r="G113" s="2"/>
      <c r="I113" s="2"/>
      <c r="J113" s="2"/>
      <c r="K113" s="2"/>
      <c r="L113" s="2"/>
      <c r="M113" s="2"/>
      <c r="N113" s="2"/>
    </row>
    <row r="114" spans="7:14" ht="12.75">
      <c r="G114" s="2"/>
      <c r="H114" s="2"/>
      <c r="I114" s="2"/>
      <c r="J114" s="2"/>
      <c r="K114" s="2"/>
      <c r="L114" s="2"/>
      <c r="M114" s="2"/>
      <c r="N114" s="2"/>
    </row>
    <row r="115" spans="7:14" ht="12.75">
      <c r="G115" s="2"/>
      <c r="H115" s="2"/>
      <c r="I115" s="2"/>
      <c r="J115" s="2"/>
      <c r="K115" s="2"/>
      <c r="L115" s="2"/>
      <c r="M115" s="2"/>
      <c r="N115" s="2"/>
    </row>
    <row r="116" spans="7:14" ht="12.75">
      <c r="G116" s="2"/>
      <c r="H116" s="2"/>
      <c r="I116" s="2"/>
      <c r="J116" s="2"/>
      <c r="K116" s="2"/>
      <c r="L116" s="2"/>
      <c r="M116" s="2"/>
      <c r="N116" s="2"/>
    </row>
    <row r="117" spans="7:14" ht="12.75">
      <c r="G117" s="2"/>
      <c r="I117" s="2"/>
      <c r="J117" s="2"/>
      <c r="K117" s="2"/>
      <c r="L117" s="2"/>
      <c r="M117" s="2"/>
      <c r="N117" s="2"/>
    </row>
    <row r="118" spans="7:14" ht="12.75">
      <c r="G118" s="2"/>
      <c r="I118" s="2"/>
      <c r="J118" s="2"/>
      <c r="K118" s="2"/>
      <c r="L118" s="2"/>
      <c r="M118" s="2"/>
      <c r="N118" s="2"/>
    </row>
    <row r="119" spans="7:14" ht="12.75">
      <c r="G119" s="2"/>
      <c r="I119" s="2"/>
      <c r="J119" s="2"/>
      <c r="K119" s="2"/>
      <c r="L119" s="2"/>
      <c r="M119" s="2"/>
      <c r="N119" s="2"/>
    </row>
    <row r="120" spans="7:14" ht="12.75">
      <c r="G120" s="2"/>
      <c r="I120" s="2"/>
      <c r="J120" s="2"/>
      <c r="K120" s="2"/>
      <c r="L120" s="2"/>
      <c r="M120" s="2"/>
      <c r="N120" s="2"/>
    </row>
    <row r="121" spans="7:14" ht="12.75">
      <c r="G121" s="2"/>
      <c r="H121" s="2"/>
      <c r="I121" s="2"/>
      <c r="J121" s="2"/>
      <c r="K121" s="2"/>
      <c r="L121" s="2"/>
      <c r="M121" s="2"/>
      <c r="N121" s="2"/>
    </row>
    <row r="122" spans="7:14" ht="12.75">
      <c r="G122" s="2"/>
      <c r="H122" s="2"/>
      <c r="I122" s="2"/>
      <c r="J122" s="2"/>
      <c r="K122" s="2"/>
      <c r="L122" s="2"/>
      <c r="M122" s="2"/>
      <c r="N122" s="2"/>
    </row>
    <row r="123" spans="7:14" ht="12.75">
      <c r="G123" s="2"/>
      <c r="H123" s="2"/>
      <c r="I123" s="2"/>
      <c r="J123" s="2"/>
      <c r="K123" s="2"/>
      <c r="L123" s="2"/>
      <c r="M123" s="2"/>
      <c r="N123" s="2"/>
    </row>
    <row r="124" spans="7:14" ht="12.75">
      <c r="G124" s="2"/>
      <c r="H124" s="2"/>
      <c r="I124" s="2"/>
      <c r="J124" s="2"/>
      <c r="K124" s="2"/>
      <c r="L124" s="2"/>
      <c r="M124" s="2"/>
      <c r="N124" s="2"/>
    </row>
    <row r="125" spans="7:14" ht="12.75">
      <c r="G125" s="2"/>
      <c r="H125" s="2"/>
      <c r="I125" s="2"/>
      <c r="J125" s="2"/>
      <c r="K125" s="2"/>
      <c r="L125" s="2"/>
      <c r="M125" s="2"/>
      <c r="N125" s="2"/>
    </row>
    <row r="126" spans="7:14" ht="12.75">
      <c r="G126" s="2"/>
      <c r="H126" s="2"/>
      <c r="I126" s="2"/>
      <c r="J126" s="2"/>
      <c r="K126" s="2"/>
      <c r="L126" s="2"/>
      <c r="M126" s="2"/>
      <c r="N126" s="2"/>
    </row>
    <row r="127" spans="7:14" ht="12.75">
      <c r="G127" s="2"/>
      <c r="H127" s="2" t="s">
        <v>120</v>
      </c>
      <c r="I127" s="2"/>
      <c r="J127" s="2"/>
      <c r="K127" s="2"/>
      <c r="L127" s="2"/>
      <c r="M127" s="2"/>
      <c r="N127" s="2"/>
    </row>
    <row r="128" spans="7:14" ht="12.75">
      <c r="G128" s="2"/>
      <c r="H128" s="2" t="s">
        <v>469</v>
      </c>
      <c r="I128" s="2"/>
      <c r="J128" s="2"/>
      <c r="K128" s="2"/>
      <c r="L128" s="2"/>
      <c r="M128" s="2"/>
      <c r="N128" s="2"/>
    </row>
    <row r="129" spans="7:14" ht="12.75">
      <c r="G129" s="2"/>
      <c r="H129" s="2"/>
      <c r="I129" s="2"/>
      <c r="J129" s="2"/>
      <c r="K129" s="2"/>
      <c r="L129" s="2"/>
      <c r="M129" s="2"/>
      <c r="N129" s="2"/>
    </row>
    <row r="130" spans="7:14" ht="12.75">
      <c r="G130" s="2"/>
      <c r="H130" s="2"/>
      <c r="I130" s="2"/>
      <c r="J130" s="2"/>
      <c r="K130" s="2"/>
      <c r="L130" s="2"/>
      <c r="M130" s="2"/>
      <c r="N130" s="2"/>
    </row>
    <row r="131" spans="7:14" ht="12.75">
      <c r="G131" s="2"/>
      <c r="H131" s="2"/>
      <c r="I131" s="2"/>
      <c r="J131" s="2"/>
      <c r="K131" s="2"/>
      <c r="L131" s="2"/>
      <c r="M131" s="2"/>
      <c r="N131" s="2"/>
    </row>
    <row r="132" spans="7:14" ht="12.75">
      <c r="G132" s="2"/>
      <c r="H132" s="2"/>
      <c r="I132" s="2"/>
      <c r="J132" s="2"/>
      <c r="K132" s="2"/>
      <c r="L132" s="2"/>
      <c r="M132" s="2"/>
      <c r="N132" s="2"/>
    </row>
    <row r="133" spans="7:14" ht="12.75">
      <c r="G133" s="2"/>
      <c r="H133" s="2"/>
      <c r="I133" s="2"/>
      <c r="J133" s="2"/>
      <c r="K133" s="2"/>
      <c r="L133" s="2"/>
      <c r="M133" s="2"/>
      <c r="N133" s="2"/>
    </row>
    <row r="134" spans="7:14" ht="12.75">
      <c r="G134" s="2"/>
      <c r="H134" s="2"/>
      <c r="I134" s="2"/>
      <c r="J134" s="2"/>
      <c r="K134" s="2"/>
      <c r="L134" s="2"/>
      <c r="M134" s="2"/>
      <c r="N134" s="2"/>
    </row>
    <row r="135" spans="7:14" ht="12.75">
      <c r="G135" s="2"/>
      <c r="H135" s="2"/>
      <c r="I135" s="2"/>
      <c r="J135" s="2"/>
      <c r="K135" s="2"/>
      <c r="L135" s="2"/>
      <c r="M135" s="2"/>
      <c r="N135" s="2"/>
    </row>
    <row r="136" spans="7:14" ht="12.75">
      <c r="G136" s="2"/>
      <c r="H136" s="2"/>
      <c r="I136" s="2"/>
      <c r="J136" s="2"/>
      <c r="K136" s="2"/>
      <c r="L136" s="2"/>
      <c r="M136" s="2"/>
      <c r="N136" s="2"/>
    </row>
    <row r="137" spans="7:14" ht="12.75">
      <c r="G137" s="2"/>
      <c r="H137" s="2"/>
      <c r="I137" s="2"/>
      <c r="J137" s="2"/>
      <c r="K137" s="2"/>
      <c r="L137" s="2"/>
      <c r="M137" s="2"/>
      <c r="N137" s="2"/>
    </row>
    <row r="138" spans="7:14" ht="12.75">
      <c r="G138" s="2"/>
      <c r="H138" s="2"/>
      <c r="I138" s="2"/>
      <c r="J138" s="2"/>
      <c r="K138" s="2"/>
      <c r="L138" s="2"/>
      <c r="M138" s="2"/>
      <c r="N138" s="2"/>
    </row>
    <row r="139" spans="7:14" ht="12.75">
      <c r="G139" s="2"/>
      <c r="H139" s="2"/>
      <c r="I139" s="2"/>
      <c r="J139" s="2"/>
      <c r="K139" s="2"/>
      <c r="L139" s="2"/>
      <c r="M139" s="2"/>
      <c r="N139" s="2"/>
    </row>
    <row r="140" spans="7:14" ht="12.75">
      <c r="G140" s="2"/>
      <c r="H140" s="2"/>
      <c r="I140" s="2"/>
      <c r="J140" s="2"/>
      <c r="K140" s="2"/>
      <c r="L140" s="2"/>
      <c r="M140" s="2"/>
      <c r="N140" s="2"/>
    </row>
    <row r="141" spans="7:14" ht="12.75">
      <c r="G141" s="2"/>
      <c r="H141" s="2"/>
      <c r="I141" s="2"/>
      <c r="J141" s="2"/>
      <c r="K141" s="2"/>
      <c r="L141" s="2"/>
      <c r="M141" s="2"/>
      <c r="N141" s="2"/>
    </row>
    <row r="142" spans="7:14" ht="12.75">
      <c r="G142" s="2"/>
      <c r="H142" s="2"/>
      <c r="I142" s="2"/>
      <c r="J142" s="2"/>
      <c r="K142" s="2"/>
      <c r="L142" s="2"/>
      <c r="M142" s="2"/>
      <c r="N142" s="2"/>
    </row>
    <row r="143" spans="7:14" ht="12.75">
      <c r="G143" s="2"/>
      <c r="H143" s="2"/>
      <c r="I143" s="2"/>
      <c r="J143" s="2"/>
      <c r="K143" s="2"/>
      <c r="L143" s="2"/>
      <c r="M143" s="2"/>
      <c r="N143" s="2"/>
    </row>
    <row r="144" spans="7:14" ht="12.75">
      <c r="G144" s="2"/>
      <c r="H144" s="2"/>
      <c r="I144" s="2"/>
      <c r="J144" s="2"/>
      <c r="K144" s="2"/>
      <c r="L144" s="2"/>
      <c r="M144" s="2"/>
      <c r="N144" s="2"/>
    </row>
    <row r="145" spans="7:14" ht="12.75">
      <c r="G145" s="2"/>
      <c r="H145" s="2"/>
      <c r="I145" s="2"/>
      <c r="J145" s="2"/>
      <c r="K145" s="2"/>
      <c r="L145" s="2"/>
      <c r="M145" s="2"/>
      <c r="N145" s="2"/>
    </row>
    <row r="146" spans="7:14" ht="12.75">
      <c r="G146" s="2"/>
      <c r="H146" s="2"/>
      <c r="I146" s="2"/>
      <c r="J146" s="2"/>
      <c r="K146" s="2"/>
      <c r="L146" s="2"/>
      <c r="M146" s="2"/>
      <c r="N146" s="2"/>
    </row>
    <row r="147" spans="7:14" ht="12.75">
      <c r="G147" s="2"/>
      <c r="H147" s="2"/>
      <c r="I147" s="2"/>
      <c r="J147" s="2"/>
      <c r="K147" s="2"/>
      <c r="L147" s="2"/>
      <c r="M147" s="2"/>
      <c r="N147" s="2"/>
    </row>
    <row r="148" spans="7:14" ht="12.75">
      <c r="G148" s="2"/>
      <c r="H148" s="2"/>
      <c r="I148" s="2"/>
      <c r="J148" s="2"/>
      <c r="K148" s="2"/>
      <c r="L148" s="2"/>
      <c r="M148" s="2"/>
      <c r="N148" s="2"/>
    </row>
    <row r="149" spans="7:14" ht="12.75">
      <c r="G149" s="2"/>
      <c r="H149" s="2"/>
      <c r="I149" s="2"/>
      <c r="J149" s="2"/>
      <c r="K149" s="2"/>
      <c r="L149" s="2"/>
      <c r="M149" s="2"/>
      <c r="N149" s="2"/>
    </row>
    <row r="150" spans="7:14" ht="12.75">
      <c r="G150" s="2"/>
      <c r="H150" s="2"/>
      <c r="I150" s="2"/>
      <c r="J150" s="2"/>
      <c r="K150" s="2"/>
      <c r="L150" s="2"/>
      <c r="M150" s="2"/>
      <c r="N150" s="2"/>
    </row>
    <row r="151" spans="7:14" ht="12.75">
      <c r="G151" s="2"/>
      <c r="H151" s="2"/>
      <c r="I151" s="2"/>
      <c r="J151" s="2"/>
      <c r="K151" s="2"/>
      <c r="L151" s="2"/>
      <c r="M151" s="2"/>
      <c r="N151" s="2"/>
    </row>
    <row r="152" spans="7:14" ht="12.75">
      <c r="G152" s="2"/>
      <c r="H152" s="2"/>
      <c r="I152" s="2"/>
      <c r="J152" s="2"/>
      <c r="K152" s="2"/>
      <c r="L152" s="2"/>
      <c r="M152" s="2"/>
      <c r="N152" s="2"/>
    </row>
    <row r="153" spans="7:14" ht="12.75">
      <c r="G153" s="2"/>
      <c r="H153" s="2"/>
      <c r="I153" s="2"/>
      <c r="J153" s="2"/>
      <c r="K153" s="2"/>
      <c r="L153" s="2"/>
      <c r="M153" s="2"/>
      <c r="N153" s="2"/>
    </row>
    <row r="154" spans="7:14" ht="12.75">
      <c r="G154" s="2"/>
      <c r="H154" s="2"/>
      <c r="I154" s="2"/>
      <c r="J154" s="2"/>
      <c r="K154" s="2"/>
      <c r="L154" s="2"/>
      <c r="M154" s="2"/>
      <c r="N154" s="2"/>
    </row>
    <row r="155" spans="7:14" ht="12.75">
      <c r="G155" s="2"/>
      <c r="H155" s="2"/>
      <c r="I155" s="2"/>
      <c r="J155" s="2"/>
      <c r="K155" s="2"/>
      <c r="L155" s="2"/>
      <c r="M155" s="2"/>
      <c r="N155" s="2"/>
    </row>
    <row r="156" spans="7:14" ht="12.75">
      <c r="G156" s="2"/>
      <c r="H156" s="2"/>
      <c r="I156" s="2"/>
      <c r="J156" s="2"/>
      <c r="K156" s="2"/>
      <c r="L156" s="2"/>
      <c r="M156" s="2"/>
      <c r="N156" s="2"/>
    </row>
    <row r="157" spans="7:14" ht="12.75">
      <c r="G157" s="2"/>
      <c r="H157" s="2"/>
      <c r="I157" s="2"/>
      <c r="J157" s="2"/>
      <c r="K157" s="2"/>
      <c r="L157" s="2"/>
      <c r="M157" s="2"/>
      <c r="N157" s="2"/>
    </row>
    <row r="158" spans="7:14" ht="12.75">
      <c r="G158" s="2"/>
      <c r="H158" s="2"/>
      <c r="I158" s="2"/>
      <c r="J158" s="2"/>
      <c r="K158" s="2"/>
      <c r="L158" s="2"/>
      <c r="M158" s="2"/>
      <c r="N158" s="2"/>
    </row>
    <row r="159" spans="7:14" ht="12.75">
      <c r="G159" s="2"/>
      <c r="H159" s="2"/>
      <c r="I159" s="2"/>
      <c r="J159" s="2"/>
      <c r="K159" s="2"/>
      <c r="L159" s="2"/>
      <c r="M159" s="2"/>
      <c r="N159" s="2"/>
    </row>
    <row r="160" spans="7:14" ht="12.75">
      <c r="G160" s="2"/>
      <c r="H160" s="2"/>
      <c r="I160" s="2"/>
      <c r="J160" s="2"/>
      <c r="K160" s="2"/>
      <c r="L160" s="2"/>
      <c r="M160" s="2"/>
      <c r="N160" s="2"/>
    </row>
    <row r="161" spans="7:14" ht="12.75">
      <c r="G161" s="2"/>
      <c r="H161" s="2"/>
      <c r="I161" s="2"/>
      <c r="J161" s="2"/>
      <c r="K161" s="2"/>
      <c r="L161" s="2"/>
      <c r="M161" s="2"/>
      <c r="N161" s="2"/>
    </row>
    <row r="162" spans="7:14" ht="12.75">
      <c r="G162" s="2"/>
      <c r="H162" s="2"/>
      <c r="I162" s="2"/>
      <c r="J162" s="2"/>
      <c r="K162" s="2"/>
      <c r="L162" s="2"/>
      <c r="M162" s="2"/>
      <c r="N162" s="2"/>
    </row>
    <row r="163" spans="7:14" ht="12.75">
      <c r="G163" s="2"/>
      <c r="H163" s="2"/>
      <c r="I163" s="2"/>
      <c r="J163" s="2"/>
      <c r="K163" s="2"/>
      <c r="L163" s="2"/>
      <c r="M163" s="2"/>
      <c r="N163" s="2"/>
    </row>
    <row r="164" spans="7:14" ht="12.75">
      <c r="G164" s="2"/>
      <c r="H164" s="2"/>
      <c r="I164" s="2"/>
      <c r="J164" s="2"/>
      <c r="K164" s="2"/>
      <c r="L164" s="2"/>
      <c r="M164" s="2"/>
      <c r="N164" s="2"/>
    </row>
    <row r="165" spans="7:14" ht="12.75">
      <c r="G165" s="2"/>
      <c r="H165" s="2"/>
      <c r="I165" s="2"/>
      <c r="J165" s="2"/>
      <c r="K165" s="2"/>
      <c r="L165" s="2"/>
      <c r="M165" s="2"/>
      <c r="N165" s="2"/>
    </row>
    <row r="166" spans="7:14" ht="12.75">
      <c r="G166" s="2"/>
      <c r="H166" s="2"/>
      <c r="I166" s="2"/>
      <c r="J166" s="2"/>
      <c r="K166" s="2"/>
      <c r="L166" s="2"/>
      <c r="M166" s="2"/>
      <c r="N166" s="2"/>
    </row>
    <row r="167" spans="7:14" ht="12.75">
      <c r="G167" s="2"/>
      <c r="H167" s="2"/>
      <c r="I167" s="2"/>
      <c r="J167" s="2"/>
      <c r="K167" s="2"/>
      <c r="L167" s="2"/>
      <c r="M167" s="2"/>
      <c r="N167" s="2"/>
    </row>
    <row r="168" spans="7:14" ht="12.75">
      <c r="G168" s="2"/>
      <c r="H168" s="2"/>
      <c r="I168" s="2"/>
      <c r="J168" s="2"/>
      <c r="K168" s="2"/>
      <c r="L168" s="2"/>
      <c r="M168" s="2"/>
      <c r="N168" s="2"/>
    </row>
    <row r="169" spans="7:14" ht="12.75">
      <c r="G169" s="2"/>
      <c r="H169" s="2"/>
      <c r="I169" s="2"/>
      <c r="J169" s="2"/>
      <c r="K169" s="2"/>
      <c r="L169" s="2"/>
      <c r="M169" s="2"/>
      <c r="N169" s="2"/>
    </row>
    <row r="170" spans="7:14" ht="12.75">
      <c r="G170" s="2"/>
      <c r="H170" s="2"/>
      <c r="I170" s="2"/>
      <c r="J170" s="2"/>
      <c r="K170" s="2"/>
      <c r="L170" s="2"/>
      <c r="M170" s="2"/>
      <c r="N170" s="2"/>
    </row>
    <row r="171" spans="7:14" ht="12.75">
      <c r="G171" s="2"/>
      <c r="H171" s="2"/>
      <c r="I171" s="2"/>
      <c r="J171" s="2"/>
      <c r="K171" s="2"/>
      <c r="L171" s="2"/>
      <c r="M171" s="2"/>
      <c r="N171" s="2"/>
    </row>
    <row r="172" spans="7:14" ht="12.75">
      <c r="G172" s="2"/>
      <c r="H172" s="2"/>
      <c r="I172" s="2"/>
      <c r="J172" s="2"/>
      <c r="K172" s="2"/>
      <c r="L172" s="2"/>
      <c r="M172" s="2"/>
      <c r="N172" s="2"/>
    </row>
    <row r="173" spans="7:14" ht="12.75">
      <c r="G173" s="2"/>
      <c r="H173" s="2"/>
      <c r="I173" s="2"/>
      <c r="J173" s="2"/>
      <c r="K173" s="2"/>
      <c r="L173" s="2"/>
      <c r="M173" s="2"/>
      <c r="N173" s="2"/>
    </row>
    <row r="174" spans="7:14" ht="12.75">
      <c r="G174" s="2"/>
      <c r="H174" s="2"/>
      <c r="I174" s="2"/>
      <c r="J174" s="2"/>
      <c r="K174" s="2"/>
      <c r="L174" s="2"/>
      <c r="M174" s="2"/>
      <c r="N174" s="2"/>
    </row>
    <row r="175" spans="7:14" ht="12.75">
      <c r="G175" s="2"/>
      <c r="H175" s="2"/>
      <c r="I175" s="2"/>
      <c r="J175" s="2"/>
      <c r="K175" s="2"/>
      <c r="L175" s="2"/>
      <c r="M175" s="2"/>
      <c r="N175" s="2"/>
    </row>
    <row r="176" spans="7:14" ht="12.75">
      <c r="G176" s="2"/>
      <c r="H176" s="2"/>
      <c r="I176" s="2"/>
      <c r="J176" s="2"/>
      <c r="K176" s="2"/>
      <c r="L176" s="2"/>
      <c r="M176" s="2"/>
      <c r="N176" s="2"/>
    </row>
    <row r="177" spans="7:14" ht="12.75">
      <c r="G177" s="2"/>
      <c r="H177" s="2"/>
      <c r="I177" s="2"/>
      <c r="J177" s="2"/>
      <c r="K177" s="2"/>
      <c r="L177" s="2"/>
      <c r="M177" s="2"/>
      <c r="N177" s="2"/>
    </row>
    <row r="178" spans="7:14" ht="12.75">
      <c r="G178" s="2"/>
      <c r="H178" s="2"/>
      <c r="I178" s="2"/>
      <c r="J178" s="2"/>
      <c r="K178" s="2"/>
      <c r="L178" s="2"/>
      <c r="M178" s="2"/>
      <c r="N178" s="2"/>
    </row>
    <row r="179" spans="7:14" ht="12.75">
      <c r="G179" s="2"/>
      <c r="H179" s="2"/>
      <c r="I179" s="2"/>
      <c r="J179" s="2"/>
      <c r="K179" s="2"/>
      <c r="L179" s="2"/>
      <c r="M179" s="2"/>
      <c r="N179" s="2"/>
    </row>
    <row r="180" spans="7:14" ht="12.75">
      <c r="G180" s="2"/>
      <c r="H180" s="2"/>
      <c r="I180" s="2"/>
      <c r="J180" s="2"/>
      <c r="K180" s="2"/>
      <c r="L180" s="2"/>
      <c r="M180" s="2"/>
      <c r="N180" s="2"/>
    </row>
    <row r="181" spans="7:14" ht="12.75">
      <c r="G181" s="2"/>
      <c r="H181" s="2"/>
      <c r="I181" s="2"/>
      <c r="J181" s="2"/>
      <c r="K181" s="2"/>
      <c r="L181" s="2"/>
      <c r="M181" s="2"/>
      <c r="N181" s="2"/>
    </row>
    <row r="182" spans="7:14" ht="12.75">
      <c r="G182" s="2"/>
      <c r="H182" s="2"/>
      <c r="I182" s="2"/>
      <c r="J182" s="2"/>
      <c r="K182" s="2"/>
      <c r="L182" s="2"/>
      <c r="M182" s="2"/>
      <c r="N182" s="2"/>
    </row>
    <row r="183" spans="7:14" ht="12.75">
      <c r="G183" s="2"/>
      <c r="H183" s="2"/>
      <c r="I183" s="2"/>
      <c r="J183" s="2"/>
      <c r="K183" s="2"/>
      <c r="L183" s="2"/>
      <c r="M183" s="2"/>
      <c r="N183" s="2"/>
    </row>
    <row r="184" spans="7:14" ht="12.75">
      <c r="G184" s="2"/>
      <c r="H184" s="2"/>
      <c r="I184" s="2"/>
      <c r="J184" s="2"/>
      <c r="K184" s="2"/>
      <c r="L184" s="2"/>
      <c r="M184" s="2"/>
      <c r="N184" s="2"/>
    </row>
    <row r="185" spans="7:14" ht="12.75">
      <c r="G185" s="2"/>
      <c r="H185" s="2"/>
      <c r="I185" s="2"/>
      <c r="J185" s="2"/>
      <c r="K185" s="2"/>
      <c r="L185" s="2"/>
      <c r="M185" s="2"/>
      <c r="N185" s="2"/>
    </row>
    <row r="186" spans="7:14" ht="12.75">
      <c r="G186" s="2"/>
      <c r="H186" s="2"/>
      <c r="I186" s="2"/>
      <c r="J186" s="2"/>
      <c r="K186" s="2"/>
      <c r="L186" s="2"/>
      <c r="M186" s="2"/>
      <c r="N186" s="2"/>
    </row>
    <row r="187" spans="7:14" ht="12.75">
      <c r="G187" s="2"/>
      <c r="H187" s="2"/>
      <c r="I187" s="2"/>
      <c r="J187" s="2"/>
      <c r="K187" s="2"/>
      <c r="L187" s="2"/>
      <c r="M187" s="2"/>
      <c r="N187" s="2"/>
    </row>
    <row r="188" spans="7:14" ht="12.75">
      <c r="G188" s="2"/>
      <c r="H188" s="2"/>
      <c r="I188" s="2"/>
      <c r="J188" s="2"/>
      <c r="K188" s="2"/>
      <c r="L188" s="2"/>
      <c r="M188" s="2"/>
      <c r="N188" s="2"/>
    </row>
    <row r="189" spans="7:14" ht="12.75">
      <c r="G189" s="2"/>
      <c r="H189" s="2"/>
      <c r="I189" s="2"/>
      <c r="J189" s="2"/>
      <c r="K189" s="2"/>
      <c r="L189" s="2"/>
      <c r="M189" s="2"/>
      <c r="N189" s="2"/>
    </row>
    <row r="190" spans="7:14" ht="12.75">
      <c r="G190" s="2"/>
      <c r="H190" s="2"/>
      <c r="I190" s="2"/>
      <c r="J190" s="2"/>
      <c r="K190" s="2"/>
      <c r="L190" s="2"/>
      <c r="M190" s="2"/>
      <c r="N190" s="2"/>
    </row>
    <row r="191" spans="1:14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</sheetData>
  <printOptions/>
  <pageMargins left="0.97" right="0.24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N125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58.57421875" style="453" customWidth="1"/>
    <col min="2" max="2" width="9.8515625" style="453" customWidth="1"/>
    <col min="3" max="3" width="11.00390625" style="453" customWidth="1"/>
    <col min="4" max="4" width="10.421875" style="453" customWidth="1"/>
    <col min="5" max="5" width="11.140625" style="453" customWidth="1"/>
    <col min="6" max="16384" width="8.00390625" style="453" customWidth="1"/>
  </cols>
  <sheetData>
    <row r="1" spans="1:5" ht="12.75">
      <c r="A1" s="452" t="s">
        <v>45</v>
      </c>
      <c r="B1" s="452"/>
      <c r="C1" s="452"/>
      <c r="D1" s="452"/>
      <c r="E1" s="549" t="s">
        <v>695</v>
      </c>
    </row>
    <row r="2" spans="1:5" ht="12.75">
      <c r="A2" s="467"/>
      <c r="B2" s="467"/>
      <c r="C2" s="467"/>
      <c r="D2" s="467"/>
      <c r="E2" s="467"/>
    </row>
    <row r="3" spans="1:5" ht="18">
      <c r="A3" s="565" t="s">
        <v>696</v>
      </c>
      <c r="B3" s="698"/>
      <c r="C3" s="452"/>
      <c r="D3" s="452"/>
      <c r="E3" s="452"/>
    </row>
    <row r="4" spans="1:5" ht="18">
      <c r="A4" s="565" t="s">
        <v>697</v>
      </c>
      <c r="B4" s="698"/>
      <c r="C4" s="452"/>
      <c r="D4" s="452"/>
      <c r="E4" s="452"/>
    </row>
    <row r="5" spans="1:5" ht="18">
      <c r="A5" s="699"/>
      <c r="B5" s="699"/>
      <c r="C5" s="700"/>
      <c r="D5" s="550"/>
      <c r="E5" s="550" t="s">
        <v>458</v>
      </c>
    </row>
    <row r="6" spans="1:5" ht="35.25" customHeight="1">
      <c r="A6" s="667" t="s">
        <v>2</v>
      </c>
      <c r="B6" s="668" t="s">
        <v>475</v>
      </c>
      <c r="C6" s="668" t="s">
        <v>50</v>
      </c>
      <c r="D6" s="668" t="s">
        <v>51</v>
      </c>
      <c r="E6" s="671" t="s">
        <v>234</v>
      </c>
    </row>
    <row r="7" spans="1:5" s="547" customFormat="1" ht="12.75" customHeight="1">
      <c r="A7" s="625">
        <v>1</v>
      </c>
      <c r="B7" s="672">
        <v>2</v>
      </c>
      <c r="C7" s="672">
        <v>3</v>
      </c>
      <c r="D7" s="672">
        <v>4</v>
      </c>
      <c r="E7" s="673">
        <v>5</v>
      </c>
    </row>
    <row r="8" spans="1:5" ht="16.5" customHeight="1">
      <c r="A8" s="652" t="s">
        <v>698</v>
      </c>
      <c r="B8" s="678"/>
      <c r="C8" s="678">
        <f>C16+C20</f>
        <v>142142</v>
      </c>
      <c r="D8" s="540"/>
      <c r="E8" s="701">
        <f>E16+E20</f>
        <v>37241</v>
      </c>
    </row>
    <row r="9" spans="1:5" ht="12">
      <c r="A9" s="702" t="s">
        <v>699</v>
      </c>
      <c r="B9" s="678"/>
      <c r="C9" s="678">
        <f>SUM(C10:C13)</f>
        <v>134130</v>
      </c>
      <c r="D9" s="540"/>
      <c r="E9" s="701">
        <f>SUM(E10:E13)</f>
        <v>34983</v>
      </c>
    </row>
    <row r="10" spans="1:5" ht="12">
      <c r="A10" s="702" t="s">
        <v>700</v>
      </c>
      <c r="B10" s="678"/>
      <c r="C10" s="678">
        <v>74682</v>
      </c>
      <c r="D10" s="540"/>
      <c r="E10" s="701">
        <v>19139</v>
      </c>
    </row>
    <row r="11" spans="1:5" ht="12">
      <c r="A11" s="702" t="s">
        <v>701</v>
      </c>
      <c r="B11" s="678"/>
      <c r="C11" s="678">
        <v>5873</v>
      </c>
      <c r="D11" s="540"/>
      <c r="E11" s="701">
        <v>1630</v>
      </c>
    </row>
    <row r="12" spans="1:5" ht="12">
      <c r="A12" s="702" t="s">
        <v>702</v>
      </c>
      <c r="B12" s="678"/>
      <c r="C12" s="678">
        <v>9038</v>
      </c>
      <c r="D12" s="540"/>
      <c r="E12" s="701">
        <v>2137</v>
      </c>
    </row>
    <row r="13" spans="1:5" ht="12">
      <c r="A13" s="702" t="s">
        <v>703</v>
      </c>
      <c r="B13" s="678"/>
      <c r="C13" s="678">
        <v>44537</v>
      </c>
      <c r="D13" s="540"/>
      <c r="E13" s="701">
        <v>12077</v>
      </c>
    </row>
    <row r="14" spans="1:5" ht="12">
      <c r="A14" s="703" t="s">
        <v>704</v>
      </c>
      <c r="B14" s="678"/>
      <c r="C14" s="678">
        <v>2371</v>
      </c>
      <c r="D14" s="540"/>
      <c r="E14" s="701">
        <v>757</v>
      </c>
    </row>
    <row r="15" spans="1:5" ht="22.5">
      <c r="A15" s="703" t="s">
        <v>705</v>
      </c>
      <c r="B15" s="678"/>
      <c r="C15" s="678">
        <v>8095</v>
      </c>
      <c r="D15" s="540"/>
      <c r="E15" s="701">
        <v>2034</v>
      </c>
    </row>
    <row r="16" spans="1:5" ht="19.5" customHeight="1">
      <c r="A16" s="652" t="s">
        <v>706</v>
      </c>
      <c r="B16" s="678"/>
      <c r="C16" s="678">
        <f>C9-C14-C15</f>
        <v>123664</v>
      </c>
      <c r="D16" s="540"/>
      <c r="E16" s="701">
        <f>E9-E14-E15</f>
        <v>32192</v>
      </c>
    </row>
    <row r="17" spans="1:5" ht="12">
      <c r="A17" s="702" t="s">
        <v>707</v>
      </c>
      <c r="B17" s="678"/>
      <c r="C17" s="678">
        <f>SUM(C18:C19)</f>
        <v>18478</v>
      </c>
      <c r="D17" s="540"/>
      <c r="E17" s="701">
        <f>SUM(E18:E19)</f>
        <v>5049</v>
      </c>
    </row>
    <row r="18" spans="1:5" ht="12">
      <c r="A18" s="702" t="s">
        <v>708</v>
      </c>
      <c r="B18" s="678"/>
      <c r="C18" s="678">
        <v>17526</v>
      </c>
      <c r="D18" s="540"/>
      <c r="E18" s="701">
        <v>4790</v>
      </c>
    </row>
    <row r="19" spans="1:5" ht="12">
      <c r="A19" s="702" t="s">
        <v>709</v>
      </c>
      <c r="B19" s="678"/>
      <c r="C19" s="678">
        <v>952</v>
      </c>
      <c r="D19" s="540"/>
      <c r="E19" s="701">
        <v>259</v>
      </c>
    </row>
    <row r="20" spans="1:5" ht="23.25" customHeight="1">
      <c r="A20" s="652" t="s">
        <v>710</v>
      </c>
      <c r="B20" s="678"/>
      <c r="C20" s="678">
        <v>18478</v>
      </c>
      <c r="D20" s="540"/>
      <c r="E20" s="701">
        <v>5049</v>
      </c>
    </row>
    <row r="21" spans="1:5" ht="35.25" customHeight="1">
      <c r="A21" s="652" t="s">
        <v>711</v>
      </c>
      <c r="B21" s="678"/>
      <c r="C21" s="678">
        <f>SUM(C22:C24)</f>
        <v>130916</v>
      </c>
      <c r="D21" s="540"/>
      <c r="E21" s="701">
        <f>SUM(E22:E24)</f>
        <v>34666</v>
      </c>
    </row>
    <row r="22" spans="1:5" ht="34.5" customHeight="1">
      <c r="A22" s="654" t="s">
        <v>712</v>
      </c>
      <c r="B22" s="678"/>
      <c r="C22" s="678">
        <f>C34+C43</f>
        <v>115652</v>
      </c>
      <c r="D22" s="540"/>
      <c r="E22" s="701">
        <f>E34+E43</f>
        <v>30460</v>
      </c>
    </row>
    <row r="23" spans="1:5" ht="30.75" customHeight="1">
      <c r="A23" s="654" t="s">
        <v>713</v>
      </c>
      <c r="B23" s="678"/>
      <c r="C23" s="678">
        <f>C35+C44</f>
        <v>7826</v>
      </c>
      <c r="D23" s="540"/>
      <c r="E23" s="701">
        <f>E35+E44</f>
        <v>2352</v>
      </c>
    </row>
    <row r="24" spans="1:5" ht="31.5" customHeight="1">
      <c r="A24" s="654" t="s">
        <v>714</v>
      </c>
      <c r="B24" s="678"/>
      <c r="C24" s="678">
        <f>C36+C45</f>
        <v>7438</v>
      </c>
      <c r="D24" s="540"/>
      <c r="E24" s="701">
        <f>E36+E45</f>
        <v>1854</v>
      </c>
    </row>
    <row r="25" spans="1:5" ht="59.25" customHeight="1">
      <c r="A25" s="652" t="s">
        <v>715</v>
      </c>
      <c r="B25" s="678"/>
      <c r="C25" s="678">
        <f>C8-C21</f>
        <v>11226</v>
      </c>
      <c r="D25" s="678"/>
      <c r="E25" s="701">
        <f>E8-E21</f>
        <v>2575</v>
      </c>
    </row>
    <row r="26" spans="1:5" ht="30" customHeight="1">
      <c r="A26" s="652" t="s">
        <v>716</v>
      </c>
      <c r="B26" s="678"/>
      <c r="C26" s="678">
        <f>C38+C47</f>
        <v>738</v>
      </c>
      <c r="D26" s="678"/>
      <c r="E26" s="701">
        <f>E38+E47</f>
        <v>271</v>
      </c>
    </row>
    <row r="27" spans="1:5" ht="38.25" customHeight="1">
      <c r="A27" s="652" t="s">
        <v>717</v>
      </c>
      <c r="B27" s="678"/>
      <c r="C27" s="678">
        <f>C21+C26</f>
        <v>131654</v>
      </c>
      <c r="D27" s="540"/>
      <c r="E27" s="701">
        <f>E21+E26</f>
        <v>34937</v>
      </c>
    </row>
    <row r="28" spans="1:5" ht="41.25" customHeight="1">
      <c r="A28" s="652" t="s">
        <v>718</v>
      </c>
      <c r="B28" s="678"/>
      <c r="C28" s="678">
        <f>C25-C26</f>
        <v>10488</v>
      </c>
      <c r="D28" s="678"/>
      <c r="E28" s="701">
        <f>E25-E26</f>
        <v>2304</v>
      </c>
    </row>
    <row r="29" spans="1:5" ht="18.75" customHeight="1">
      <c r="A29" s="704" t="s">
        <v>719</v>
      </c>
      <c r="B29" s="678"/>
      <c r="C29" s="678">
        <v>128206</v>
      </c>
      <c r="D29" s="540"/>
      <c r="E29" s="701">
        <v>33819</v>
      </c>
    </row>
    <row r="30" spans="1:5" ht="12">
      <c r="A30" s="703" t="s">
        <v>720</v>
      </c>
      <c r="B30" s="678"/>
      <c r="C30" s="678">
        <v>10466</v>
      </c>
      <c r="D30" s="540"/>
      <c r="E30" s="701">
        <v>2791</v>
      </c>
    </row>
    <row r="31" spans="1:5" ht="17.25" customHeight="1">
      <c r="A31" s="704" t="s">
        <v>721</v>
      </c>
      <c r="B31" s="678"/>
      <c r="C31" s="678">
        <f>C29-C30</f>
        <v>117740</v>
      </c>
      <c r="D31" s="540"/>
      <c r="E31" s="701">
        <f>E29-E30</f>
        <v>31028</v>
      </c>
    </row>
    <row r="32" spans="1:5" ht="15.75" customHeight="1">
      <c r="A32" s="705" t="s">
        <v>722</v>
      </c>
      <c r="B32" s="678"/>
      <c r="C32" s="678">
        <v>115890</v>
      </c>
      <c r="D32" s="540"/>
      <c r="E32" s="701">
        <v>30690</v>
      </c>
    </row>
    <row r="33" spans="1:5" ht="12">
      <c r="A33" s="703" t="s">
        <v>720</v>
      </c>
      <c r="B33" s="678"/>
      <c r="C33" s="678">
        <v>10466</v>
      </c>
      <c r="D33" s="540"/>
      <c r="E33" s="701">
        <v>2791</v>
      </c>
    </row>
    <row r="34" spans="1:5" ht="12">
      <c r="A34" s="705" t="s">
        <v>723</v>
      </c>
      <c r="B34" s="678"/>
      <c r="C34" s="678">
        <f>C32-C33</f>
        <v>105424</v>
      </c>
      <c r="D34" s="540"/>
      <c r="E34" s="701">
        <f>E32-E33</f>
        <v>27899</v>
      </c>
    </row>
    <row r="35" spans="1:5" ht="12">
      <c r="A35" s="705" t="s">
        <v>724</v>
      </c>
      <c r="B35" s="678"/>
      <c r="C35" s="678">
        <v>5022</v>
      </c>
      <c r="D35" s="540"/>
      <c r="E35" s="701">
        <v>1415</v>
      </c>
    </row>
    <row r="36" spans="1:5" ht="12">
      <c r="A36" s="705" t="s">
        <v>725</v>
      </c>
      <c r="B36" s="678"/>
      <c r="C36" s="678">
        <v>7294</v>
      </c>
      <c r="D36" s="540"/>
      <c r="E36" s="701">
        <v>1714</v>
      </c>
    </row>
    <row r="37" spans="1:6" s="707" customFormat="1" ht="42" customHeight="1">
      <c r="A37" s="652" t="s">
        <v>726</v>
      </c>
      <c r="B37" s="678"/>
      <c r="C37" s="678">
        <f>C16-C31</f>
        <v>5924</v>
      </c>
      <c r="D37" s="540"/>
      <c r="E37" s="701">
        <f>E16-E31</f>
        <v>1164</v>
      </c>
      <c r="F37" s="706"/>
    </row>
    <row r="38" spans="1:6" s="707" customFormat="1" ht="27" customHeight="1">
      <c r="A38" s="704" t="s">
        <v>727</v>
      </c>
      <c r="B38" s="678"/>
      <c r="C38" s="678">
        <f>C39-C40</f>
        <v>-81</v>
      </c>
      <c r="D38" s="678"/>
      <c r="E38" s="701">
        <f>E39-E40</f>
        <v>-28</v>
      </c>
      <c r="F38" s="706"/>
    </row>
    <row r="39" spans="1:6" s="707" customFormat="1" ht="15.75" customHeight="1">
      <c r="A39" s="705" t="s">
        <v>728</v>
      </c>
      <c r="B39" s="678"/>
      <c r="C39" s="678">
        <v>151</v>
      </c>
      <c r="D39" s="678"/>
      <c r="E39" s="701">
        <v>50</v>
      </c>
      <c r="F39" s="706"/>
    </row>
    <row r="40" spans="1:6" s="707" customFormat="1" ht="18" customHeight="1">
      <c r="A40" s="705" t="s">
        <v>729</v>
      </c>
      <c r="B40" s="678"/>
      <c r="C40" s="678">
        <v>232</v>
      </c>
      <c r="D40" s="678"/>
      <c r="E40" s="701">
        <v>78</v>
      </c>
      <c r="F40" s="706"/>
    </row>
    <row r="41" spans="1:6" s="707" customFormat="1" ht="38.25" customHeight="1">
      <c r="A41" s="652" t="s">
        <v>730</v>
      </c>
      <c r="B41" s="678"/>
      <c r="C41" s="678">
        <f>C37-C38</f>
        <v>6005</v>
      </c>
      <c r="D41" s="540"/>
      <c r="E41" s="701">
        <f>E37-E38</f>
        <v>1192</v>
      </c>
      <c r="F41" s="706"/>
    </row>
    <row r="42" spans="1:6" s="707" customFormat="1" ht="23.25" customHeight="1">
      <c r="A42" s="704" t="s">
        <v>731</v>
      </c>
      <c r="B42" s="678"/>
      <c r="C42" s="678">
        <f>SUM(C43:C45)</f>
        <v>13176</v>
      </c>
      <c r="D42" s="540"/>
      <c r="E42" s="701">
        <f>SUM(E43:E45)</f>
        <v>3638</v>
      </c>
      <c r="F42" s="706"/>
    </row>
    <row r="43" spans="1:6" s="707" customFormat="1" ht="12">
      <c r="A43" s="705" t="s">
        <v>732</v>
      </c>
      <c r="B43" s="678"/>
      <c r="C43" s="678">
        <v>10228</v>
      </c>
      <c r="D43" s="540"/>
      <c r="E43" s="701">
        <v>2561</v>
      </c>
      <c r="F43" s="706"/>
    </row>
    <row r="44" spans="1:6" s="707" customFormat="1" ht="12">
      <c r="A44" s="705" t="s">
        <v>733</v>
      </c>
      <c r="B44" s="678"/>
      <c r="C44" s="678">
        <v>2804</v>
      </c>
      <c r="D44" s="540"/>
      <c r="E44" s="701">
        <v>937</v>
      </c>
      <c r="F44" s="706"/>
    </row>
    <row r="45" spans="1:6" s="707" customFormat="1" ht="12">
      <c r="A45" s="705" t="s">
        <v>734</v>
      </c>
      <c r="B45" s="678"/>
      <c r="C45" s="678">
        <v>144</v>
      </c>
      <c r="D45" s="540"/>
      <c r="E45" s="701">
        <v>140</v>
      </c>
      <c r="F45" s="706"/>
    </row>
    <row r="46" spans="1:14" s="707" customFormat="1" ht="46.5" customHeight="1">
      <c r="A46" s="652" t="s">
        <v>735</v>
      </c>
      <c r="B46" s="678"/>
      <c r="C46" s="678">
        <f>SUM(C20-C42)</f>
        <v>5302</v>
      </c>
      <c r="D46" s="678"/>
      <c r="E46" s="701">
        <f>SUM(E20-E42)</f>
        <v>1411</v>
      </c>
      <c r="F46" s="706"/>
      <c r="N46" s="467"/>
    </row>
    <row r="47" spans="1:6" s="707" customFormat="1" ht="18.75" customHeight="1">
      <c r="A47" s="704" t="s">
        <v>736</v>
      </c>
      <c r="B47" s="678"/>
      <c r="C47" s="678">
        <f>C48-C49</f>
        <v>819</v>
      </c>
      <c r="D47" s="678"/>
      <c r="E47" s="701">
        <f>E48-E49</f>
        <v>299</v>
      </c>
      <c r="F47" s="706"/>
    </row>
    <row r="48" spans="1:6" s="707" customFormat="1" ht="12">
      <c r="A48" s="705" t="s">
        <v>737</v>
      </c>
      <c r="B48" s="678"/>
      <c r="C48" s="678">
        <v>1289</v>
      </c>
      <c r="D48" s="678"/>
      <c r="E48" s="701">
        <v>327</v>
      </c>
      <c r="F48" s="706"/>
    </row>
    <row r="49" spans="1:6" s="707" customFormat="1" ht="12">
      <c r="A49" s="705" t="s">
        <v>738</v>
      </c>
      <c r="B49" s="678"/>
      <c r="C49" s="678">
        <v>470</v>
      </c>
      <c r="E49" s="701">
        <v>28</v>
      </c>
      <c r="F49" s="706"/>
    </row>
    <row r="50" spans="1:6" s="707" customFormat="1" ht="46.5" customHeight="1">
      <c r="A50" s="708" t="s">
        <v>739</v>
      </c>
      <c r="B50" s="680"/>
      <c r="C50" s="680">
        <f>SUM(C46-C47)</f>
        <v>4483</v>
      </c>
      <c r="D50" s="709"/>
      <c r="E50" s="710">
        <f>SUM(E46-E47)</f>
        <v>1112</v>
      </c>
      <c r="F50" s="706"/>
    </row>
    <row r="51" s="467" customFormat="1" ht="12.75">
      <c r="A51" s="561"/>
    </row>
    <row r="52" s="467" customFormat="1" ht="12.75">
      <c r="A52" s="561"/>
    </row>
    <row r="53" s="467" customFormat="1" ht="12.75">
      <c r="A53" s="561"/>
    </row>
    <row r="54" s="467" customFormat="1" ht="12.75">
      <c r="A54" s="561"/>
    </row>
    <row r="55" s="467" customFormat="1" ht="12.75">
      <c r="A55" s="561"/>
    </row>
    <row r="56" s="467" customFormat="1" ht="12.75">
      <c r="A56" s="561"/>
    </row>
    <row r="57" spans="1:4" s="467" customFormat="1" ht="12.75">
      <c r="A57" s="517" t="s">
        <v>740</v>
      </c>
      <c r="B57" s="711"/>
      <c r="C57" s="496"/>
      <c r="D57" s="496" t="s">
        <v>511</v>
      </c>
    </row>
    <row r="58" s="467" customFormat="1" ht="12.75">
      <c r="A58" s="561"/>
    </row>
    <row r="59" s="467" customFormat="1" ht="12.75">
      <c r="A59" s="561"/>
    </row>
    <row r="60" s="467" customFormat="1" ht="12.75">
      <c r="A60" s="561"/>
    </row>
    <row r="61" s="467" customFormat="1" ht="12.75">
      <c r="A61" s="561"/>
    </row>
    <row r="62" s="467" customFormat="1" ht="12.75">
      <c r="A62" s="561"/>
    </row>
    <row r="63" s="467" customFormat="1" ht="12.75">
      <c r="A63" s="561"/>
    </row>
    <row r="64" s="467" customFormat="1" ht="12.75">
      <c r="A64" s="561"/>
    </row>
    <row r="65" s="467" customFormat="1" ht="12.75">
      <c r="A65" s="609" t="s">
        <v>647</v>
      </c>
    </row>
    <row r="66" s="467" customFormat="1" ht="12.75">
      <c r="A66" s="609" t="s">
        <v>662</v>
      </c>
    </row>
    <row r="67" s="467" customFormat="1" ht="12.75">
      <c r="A67" s="561"/>
    </row>
    <row r="68" s="467" customFormat="1" ht="12.75">
      <c r="A68" s="561"/>
    </row>
    <row r="69" s="467" customFormat="1" ht="12.75">
      <c r="A69" s="609"/>
    </row>
    <row r="72" s="467" customFormat="1" ht="12.75">
      <c r="A72" s="561"/>
    </row>
    <row r="73" s="467" customFormat="1" ht="12.75">
      <c r="A73" s="561"/>
    </row>
    <row r="74" s="467" customFormat="1" ht="12.75">
      <c r="A74" s="561"/>
    </row>
    <row r="75" s="467" customFormat="1" ht="12.75">
      <c r="A75" s="561"/>
    </row>
    <row r="76" s="467" customFormat="1" ht="12.75">
      <c r="A76" s="561"/>
    </row>
    <row r="77" s="467" customFormat="1" ht="12.75">
      <c r="A77" s="561"/>
    </row>
    <row r="78" s="467" customFormat="1" ht="12.75">
      <c r="A78" s="561"/>
    </row>
    <row r="79" ht="11.25">
      <c r="A79" s="562"/>
    </row>
    <row r="80" ht="11.25">
      <c r="A80" s="562"/>
    </row>
    <row r="81" ht="11.25">
      <c r="A81" s="562"/>
    </row>
    <row r="82" ht="11.25">
      <c r="A82" s="562"/>
    </row>
    <row r="83" ht="11.25">
      <c r="A83" s="562"/>
    </row>
    <row r="84" ht="11.25">
      <c r="A84" s="562"/>
    </row>
    <row r="85" ht="11.25">
      <c r="A85" s="562"/>
    </row>
    <row r="86" ht="11.25">
      <c r="A86" s="562"/>
    </row>
    <row r="87" ht="11.25">
      <c r="A87" s="562"/>
    </row>
    <row r="88" ht="11.25">
      <c r="A88" s="562"/>
    </row>
    <row r="89" ht="11.25">
      <c r="A89" s="562"/>
    </row>
    <row r="90" ht="11.25">
      <c r="A90" s="562"/>
    </row>
    <row r="91" ht="11.25">
      <c r="A91" s="562"/>
    </row>
    <row r="92" ht="11.25">
      <c r="A92" s="562"/>
    </row>
    <row r="93" ht="11.25">
      <c r="A93" s="562"/>
    </row>
    <row r="94" ht="11.25">
      <c r="A94" s="562"/>
    </row>
    <row r="95" ht="11.25">
      <c r="A95" s="562"/>
    </row>
    <row r="96" ht="11.25">
      <c r="A96" s="562"/>
    </row>
    <row r="97" ht="11.25">
      <c r="A97" s="562"/>
    </row>
    <row r="98" ht="11.25">
      <c r="A98" s="562"/>
    </row>
    <row r="99" ht="11.25">
      <c r="A99" s="562"/>
    </row>
    <row r="100" ht="11.25">
      <c r="A100" s="562"/>
    </row>
    <row r="101" ht="11.25">
      <c r="A101" s="562"/>
    </row>
    <row r="102" ht="11.25">
      <c r="A102" s="562"/>
    </row>
    <row r="103" ht="11.25">
      <c r="A103" s="562"/>
    </row>
    <row r="104" ht="11.25">
      <c r="A104" s="562"/>
    </row>
    <row r="105" ht="11.25">
      <c r="A105" s="562"/>
    </row>
    <row r="106" ht="11.25">
      <c r="A106" s="562"/>
    </row>
    <row r="107" ht="11.25">
      <c r="A107" s="562"/>
    </row>
    <row r="108" ht="11.25">
      <c r="A108" s="562"/>
    </row>
    <row r="109" ht="11.25">
      <c r="A109" s="562"/>
    </row>
    <row r="110" ht="11.25">
      <c r="A110" s="562"/>
    </row>
    <row r="111" ht="11.25">
      <c r="A111" s="562"/>
    </row>
    <row r="112" ht="11.25">
      <c r="A112" s="562"/>
    </row>
    <row r="113" ht="11.25">
      <c r="A113" s="562"/>
    </row>
    <row r="114" ht="11.25">
      <c r="A114" s="562"/>
    </row>
    <row r="115" ht="11.25">
      <c r="A115" s="562"/>
    </row>
    <row r="116" ht="11.25">
      <c r="A116" s="562"/>
    </row>
    <row r="117" ht="11.25">
      <c r="A117" s="562"/>
    </row>
    <row r="118" ht="11.25">
      <c r="A118" s="562"/>
    </row>
    <row r="119" ht="11.25">
      <c r="A119" s="562"/>
    </row>
    <row r="120" ht="11.25">
      <c r="A120" s="562"/>
    </row>
    <row r="121" ht="11.25">
      <c r="A121" s="562"/>
    </row>
    <row r="122" ht="11.25">
      <c r="A122" s="562"/>
    </row>
    <row r="123" ht="11.25">
      <c r="A123" s="562"/>
    </row>
    <row r="124" ht="11.25">
      <c r="A124" s="562"/>
    </row>
    <row r="125" ht="11.25">
      <c r="A125" s="562"/>
    </row>
  </sheetData>
  <printOptions/>
  <pageMargins left="0.39" right="0.17" top="1" bottom="1" header="0.5" footer="0.5"/>
  <pageSetup firstPageNumber="24" useFirstPageNumber="1" horizontalDpi="600" verticalDpi="600" orientation="portrait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A1:I59"/>
  <sheetViews>
    <sheetView showGridLines="0" showZeros="0" workbookViewId="0" topLeftCell="A1">
      <selection activeCell="B10" sqref="B10"/>
    </sheetView>
  </sheetViews>
  <sheetFormatPr defaultColWidth="9.140625" defaultRowHeight="12.75"/>
  <cols>
    <col min="1" max="1" width="37.57421875" style="459" customWidth="1"/>
    <col min="2" max="5" width="12.7109375" style="453" customWidth="1"/>
    <col min="6" max="16384" width="7.421875" style="453" customWidth="1"/>
  </cols>
  <sheetData>
    <row r="1" spans="1:5" ht="12.75">
      <c r="A1" s="451" t="s">
        <v>470</v>
      </c>
      <c r="B1" s="451"/>
      <c r="C1" s="452"/>
      <c r="D1" s="452"/>
      <c r="E1" s="452" t="s">
        <v>471</v>
      </c>
    </row>
    <row r="2" spans="1:7" s="452" customFormat="1" ht="12.75">
      <c r="A2" s="451"/>
      <c r="B2" s="451"/>
      <c r="E2" s="454"/>
      <c r="G2" s="451" t="s">
        <v>472</v>
      </c>
    </row>
    <row r="4" spans="1:6" s="458" customFormat="1" ht="15.75">
      <c r="A4" s="455" t="s">
        <v>473</v>
      </c>
      <c r="B4" s="456"/>
      <c r="C4" s="457"/>
      <c r="D4" s="457"/>
      <c r="E4" s="457"/>
      <c r="F4" s="457"/>
    </row>
    <row r="5" spans="1:6" s="458" customFormat="1" ht="15.75">
      <c r="A5" s="455" t="s">
        <v>474</v>
      </c>
      <c r="B5" s="456"/>
      <c r="C5" s="457"/>
      <c r="D5" s="457"/>
      <c r="E5" s="457"/>
      <c r="F5" s="457"/>
    </row>
    <row r="6" spans="2:4" ht="11.25">
      <c r="B6" s="460"/>
      <c r="C6" s="460"/>
      <c r="D6" s="460"/>
    </row>
    <row r="7" spans="3:9" ht="12.75" customHeight="1">
      <c r="C7" s="460"/>
      <c r="D7" s="460"/>
      <c r="E7" s="460"/>
      <c r="F7" s="461"/>
      <c r="G7" s="461"/>
      <c r="H7" s="461"/>
      <c r="I7" s="461"/>
    </row>
    <row r="8" spans="1:5" s="461" customFormat="1" ht="12.75" customHeight="1">
      <c r="A8" s="462"/>
      <c r="B8" s="462"/>
      <c r="C8" s="463"/>
      <c r="D8" s="463"/>
      <c r="E8" s="463" t="s">
        <v>48</v>
      </c>
    </row>
    <row r="9" spans="1:8" s="461" customFormat="1" ht="40.5" customHeight="1">
      <c r="A9" s="464" t="s">
        <v>2</v>
      </c>
      <c r="B9" s="465" t="s">
        <v>475</v>
      </c>
      <c r="C9" s="465" t="s">
        <v>50</v>
      </c>
      <c r="D9" s="465" t="s">
        <v>476</v>
      </c>
      <c r="E9" s="466" t="s">
        <v>234</v>
      </c>
      <c r="F9" s="467"/>
      <c r="G9" s="467"/>
      <c r="H9" s="467"/>
    </row>
    <row r="10" spans="1:8" s="461" customFormat="1" ht="12.75">
      <c r="A10" s="468" t="s">
        <v>477</v>
      </c>
      <c r="B10" s="469">
        <v>2</v>
      </c>
      <c r="C10" s="469">
        <v>3</v>
      </c>
      <c r="D10" s="469">
        <v>4</v>
      </c>
      <c r="E10" s="470" t="s">
        <v>478</v>
      </c>
      <c r="F10" s="467"/>
      <c r="G10" s="467"/>
      <c r="H10" s="467"/>
    </row>
    <row r="11" spans="1:6" s="467" customFormat="1" ht="12.75">
      <c r="A11" s="471" t="s">
        <v>479</v>
      </c>
      <c r="B11" s="472"/>
      <c r="C11" s="472">
        <v>134130</v>
      </c>
      <c r="D11" s="473"/>
      <c r="E11" s="474">
        <v>34983</v>
      </c>
      <c r="F11" s="453"/>
    </row>
    <row r="12" spans="1:7" ht="25.5">
      <c r="A12" s="475" t="s">
        <v>480</v>
      </c>
      <c r="B12" s="472"/>
      <c r="C12" s="472">
        <v>89593</v>
      </c>
      <c r="D12" s="473"/>
      <c r="E12" s="474">
        <v>22906</v>
      </c>
      <c r="F12" s="467"/>
      <c r="G12" s="467"/>
    </row>
    <row r="13" spans="1:5" s="467" customFormat="1" ht="12.75">
      <c r="A13" s="476" t="s">
        <v>481</v>
      </c>
      <c r="B13" s="472"/>
      <c r="C13" s="472">
        <v>74682</v>
      </c>
      <c r="D13" s="473"/>
      <c r="E13" s="474">
        <v>19139</v>
      </c>
    </row>
    <row r="14" spans="1:6" s="467" customFormat="1" ht="12.75">
      <c r="A14" s="477" t="s">
        <v>134</v>
      </c>
      <c r="B14" s="472"/>
      <c r="C14" s="472">
        <v>74300</v>
      </c>
      <c r="D14" s="473"/>
      <c r="E14" s="474">
        <v>19041</v>
      </c>
      <c r="F14" s="453"/>
    </row>
    <row r="15" spans="1:6" s="461" customFormat="1" ht="12">
      <c r="A15" s="478" t="s">
        <v>482</v>
      </c>
      <c r="B15" s="472"/>
      <c r="C15" s="472">
        <v>59362</v>
      </c>
      <c r="D15" s="473"/>
      <c r="E15" s="474">
        <v>14424</v>
      </c>
      <c r="F15" s="453"/>
    </row>
    <row r="16" spans="1:6" s="461" customFormat="1" ht="12">
      <c r="A16" s="478" t="s">
        <v>483</v>
      </c>
      <c r="B16" s="472"/>
      <c r="C16" s="472">
        <v>10730</v>
      </c>
      <c r="D16" s="473"/>
      <c r="E16" s="474">
        <v>3034</v>
      </c>
      <c r="F16" s="453"/>
    </row>
    <row r="17" spans="1:6" s="461" customFormat="1" ht="12">
      <c r="A17" s="478" t="s">
        <v>484</v>
      </c>
      <c r="B17" s="472"/>
      <c r="C17" s="472">
        <v>3745</v>
      </c>
      <c r="D17" s="473"/>
      <c r="E17" s="474">
        <v>1506</v>
      </c>
      <c r="F17" s="453"/>
    </row>
    <row r="18" spans="1:6" s="461" customFormat="1" ht="12">
      <c r="A18" s="478" t="s">
        <v>485</v>
      </c>
      <c r="B18" s="472"/>
      <c r="C18" s="472">
        <v>463</v>
      </c>
      <c r="D18" s="473"/>
      <c r="E18" s="474">
        <v>77</v>
      </c>
      <c r="F18" s="453"/>
    </row>
    <row r="19" spans="1:6" s="467" customFormat="1" ht="12.75">
      <c r="A19" s="477" t="s">
        <v>136</v>
      </c>
      <c r="B19" s="472"/>
      <c r="C19" s="472">
        <v>382</v>
      </c>
      <c r="D19" s="473"/>
      <c r="E19" s="474">
        <v>98</v>
      </c>
      <c r="F19" s="453"/>
    </row>
    <row r="20" spans="1:5" ht="12">
      <c r="A20" s="478" t="s">
        <v>486</v>
      </c>
      <c r="B20" s="472"/>
      <c r="C20" s="472">
        <v>382</v>
      </c>
      <c r="D20" s="473"/>
      <c r="E20" s="474">
        <v>98</v>
      </c>
    </row>
    <row r="21" spans="1:5" s="467" customFormat="1" ht="12.75">
      <c r="A21" s="476" t="s">
        <v>487</v>
      </c>
      <c r="B21" s="472"/>
      <c r="C21" s="472">
        <v>5873</v>
      </c>
      <c r="D21" s="473"/>
      <c r="E21" s="474">
        <v>1630</v>
      </c>
    </row>
    <row r="22" spans="1:7" ht="12.75">
      <c r="A22" s="478" t="s">
        <v>488</v>
      </c>
      <c r="B22" s="472"/>
      <c r="C22" s="472">
        <v>133</v>
      </c>
      <c r="D22" s="473"/>
      <c r="E22" s="474">
        <v>24</v>
      </c>
      <c r="F22" s="467"/>
      <c r="G22" s="467"/>
    </row>
    <row r="23" spans="1:7" ht="12.75">
      <c r="A23" s="478" t="s">
        <v>489</v>
      </c>
      <c r="B23" s="472"/>
      <c r="C23" s="472">
        <v>817</v>
      </c>
      <c r="D23" s="473"/>
      <c r="E23" s="474">
        <v>216</v>
      </c>
      <c r="F23" s="467"/>
      <c r="G23" s="467"/>
    </row>
    <row r="24" spans="1:7" ht="12.75">
      <c r="A24" s="478" t="s">
        <v>490</v>
      </c>
      <c r="B24" s="472"/>
      <c r="C24" s="472">
        <v>78</v>
      </c>
      <c r="D24" s="473"/>
      <c r="E24" s="474">
        <v>23</v>
      </c>
      <c r="F24" s="467"/>
      <c r="G24" s="467"/>
    </row>
    <row r="25" spans="1:7" ht="12.75">
      <c r="A25" s="478" t="s">
        <v>491</v>
      </c>
      <c r="B25" s="472"/>
      <c r="C25" s="472">
        <v>4713</v>
      </c>
      <c r="D25" s="473"/>
      <c r="E25" s="474">
        <v>1351</v>
      </c>
      <c r="F25" s="467"/>
      <c r="G25" s="467"/>
    </row>
    <row r="26" spans="1:7" ht="22.5">
      <c r="A26" s="479" t="s">
        <v>492</v>
      </c>
      <c r="B26" s="472"/>
      <c r="C26" s="472">
        <v>117</v>
      </c>
      <c r="D26" s="473"/>
      <c r="E26" s="474">
        <v>14</v>
      </c>
      <c r="F26" s="467"/>
      <c r="G26" s="467"/>
    </row>
    <row r="27" spans="1:7" ht="12.75">
      <c r="A27" s="478" t="s">
        <v>493</v>
      </c>
      <c r="B27" s="472"/>
      <c r="C27" s="472">
        <v>15</v>
      </c>
      <c r="D27" s="473"/>
      <c r="E27" s="474">
        <v>2</v>
      </c>
      <c r="F27" s="467"/>
      <c r="G27" s="467"/>
    </row>
    <row r="28" spans="1:7" ht="38.25">
      <c r="A28" s="480" t="s">
        <v>494</v>
      </c>
      <c r="B28" s="472"/>
      <c r="C28" s="472">
        <v>9038</v>
      </c>
      <c r="D28" s="473"/>
      <c r="E28" s="474">
        <v>2137</v>
      </c>
      <c r="F28" s="467"/>
      <c r="G28" s="467"/>
    </row>
    <row r="29" spans="1:7" ht="12.75">
      <c r="A29" s="476" t="s">
        <v>495</v>
      </c>
      <c r="B29" s="472"/>
      <c r="C29" s="472">
        <v>44537</v>
      </c>
      <c r="D29" s="473"/>
      <c r="E29" s="474">
        <v>12077</v>
      </c>
      <c r="F29" s="467"/>
      <c r="G29" s="467"/>
    </row>
    <row r="30" spans="1:7" ht="12.75">
      <c r="A30" s="481" t="s">
        <v>496</v>
      </c>
      <c r="B30" s="472"/>
      <c r="C30" s="472">
        <v>2371</v>
      </c>
      <c r="D30" s="473"/>
      <c r="E30" s="474">
        <v>757</v>
      </c>
      <c r="F30" s="467"/>
      <c r="G30" s="467"/>
    </row>
    <row r="31" spans="1:7" ht="22.5">
      <c r="A31" s="479" t="s">
        <v>497</v>
      </c>
      <c r="B31" s="472"/>
      <c r="C31" s="472">
        <v>1809</v>
      </c>
      <c r="D31" s="473"/>
      <c r="E31" s="474">
        <v>630</v>
      </c>
      <c r="F31" s="467"/>
      <c r="G31" s="467"/>
    </row>
    <row r="32" spans="1:7" ht="22.5">
      <c r="A32" s="479" t="s">
        <v>498</v>
      </c>
      <c r="B32" s="472"/>
      <c r="C32" s="472">
        <v>96</v>
      </c>
      <c r="D32" s="473"/>
      <c r="E32" s="474">
        <v>27</v>
      </c>
      <c r="F32" s="467"/>
      <c r="G32" s="467"/>
    </row>
    <row r="33" spans="1:7" ht="12.75">
      <c r="A33" s="478" t="s">
        <v>499</v>
      </c>
      <c r="B33" s="472"/>
      <c r="C33" s="472">
        <v>466</v>
      </c>
      <c r="D33" s="473"/>
      <c r="E33" s="474">
        <v>100</v>
      </c>
      <c r="F33" s="467"/>
      <c r="G33" s="467"/>
    </row>
    <row r="34" spans="1:7" ht="12.75">
      <c r="A34" s="481" t="s">
        <v>500</v>
      </c>
      <c r="B34" s="472"/>
      <c r="C34" s="472">
        <v>31281</v>
      </c>
      <c r="D34" s="473"/>
      <c r="E34" s="474">
        <v>8622</v>
      </c>
      <c r="F34" s="467"/>
      <c r="G34" s="467"/>
    </row>
    <row r="35" spans="1:7" ht="12.75">
      <c r="A35" s="478" t="s">
        <v>501</v>
      </c>
      <c r="B35" s="472"/>
      <c r="C35" s="472">
        <v>0</v>
      </c>
      <c r="D35" s="473"/>
      <c r="E35" s="474">
        <v>0</v>
      </c>
      <c r="F35" s="467"/>
      <c r="G35" s="467"/>
    </row>
    <row r="36" spans="1:5" ht="12">
      <c r="A36" s="478" t="s">
        <v>502</v>
      </c>
      <c r="B36" s="472"/>
      <c r="C36" s="472">
        <v>0</v>
      </c>
      <c r="D36" s="473"/>
      <c r="E36" s="474">
        <v>0</v>
      </c>
    </row>
    <row r="37" spans="1:5" ht="12">
      <c r="A37" s="478" t="s">
        <v>503</v>
      </c>
      <c r="B37" s="472"/>
      <c r="C37" s="472">
        <v>31281</v>
      </c>
      <c r="D37" s="473"/>
      <c r="E37" s="474">
        <v>8622</v>
      </c>
    </row>
    <row r="38" spans="1:5" ht="22.5">
      <c r="A38" s="482" t="s">
        <v>504</v>
      </c>
      <c r="B38" s="472"/>
      <c r="C38" s="472">
        <v>0</v>
      </c>
      <c r="D38" s="473"/>
      <c r="E38" s="474">
        <v>0</v>
      </c>
    </row>
    <row r="39" spans="1:5" ht="22.5">
      <c r="A39" s="483" t="s">
        <v>505</v>
      </c>
      <c r="B39" s="472"/>
      <c r="C39" s="472">
        <v>10493</v>
      </c>
      <c r="D39" s="473"/>
      <c r="E39" s="474">
        <v>2623</v>
      </c>
    </row>
    <row r="40" spans="1:5" ht="12">
      <c r="A40" s="478" t="s">
        <v>501</v>
      </c>
      <c r="B40" s="472"/>
      <c r="C40" s="472">
        <v>10493</v>
      </c>
      <c r="D40" s="473"/>
      <c r="E40" s="474">
        <v>2623</v>
      </c>
    </row>
    <row r="41" spans="1:5" ht="12">
      <c r="A41" s="478" t="s">
        <v>506</v>
      </c>
      <c r="B41" s="472"/>
      <c r="C41" s="472">
        <v>0</v>
      </c>
      <c r="D41" s="473"/>
      <c r="E41" s="474">
        <v>0</v>
      </c>
    </row>
    <row r="42" spans="1:5" ht="22.5">
      <c r="A42" s="479" t="s">
        <v>507</v>
      </c>
      <c r="B42" s="472"/>
      <c r="C42" s="472"/>
      <c r="D42" s="473"/>
      <c r="E42" s="474"/>
    </row>
    <row r="43" spans="1:5" ht="12">
      <c r="A43" s="484" t="s">
        <v>508</v>
      </c>
      <c r="B43" s="485"/>
      <c r="C43" s="485">
        <v>392</v>
      </c>
      <c r="D43" s="486"/>
      <c r="E43" s="487">
        <v>75</v>
      </c>
    </row>
    <row r="44" spans="1:5" ht="12">
      <c r="A44" s="488" t="s">
        <v>509</v>
      </c>
      <c r="B44" s="489"/>
      <c r="C44" s="489"/>
      <c r="D44" s="490"/>
      <c r="E44" s="491"/>
    </row>
    <row r="45" spans="1:5" ht="12.75">
      <c r="A45" s="488"/>
      <c r="B45" s="492"/>
      <c r="C45" s="492"/>
      <c r="D45" s="492"/>
      <c r="E45" s="491"/>
    </row>
    <row r="46" spans="1:5" ht="12.75">
      <c r="A46" s="488"/>
      <c r="B46" s="492"/>
      <c r="C46" s="492"/>
      <c r="D46" s="492"/>
      <c r="E46" s="491"/>
    </row>
    <row r="47" spans="1:5" ht="12.75">
      <c r="A47" s="488"/>
      <c r="B47" s="492"/>
      <c r="C47" s="492"/>
      <c r="D47" s="492"/>
      <c r="E47" s="491"/>
    </row>
    <row r="48" spans="1:4" s="490" customFormat="1" ht="12" hidden="1">
      <c r="A48" s="493"/>
      <c r="B48" s="491"/>
      <c r="C48" s="489"/>
      <c r="D48" s="489"/>
    </row>
    <row r="49" spans="1:5" s="497" customFormat="1" ht="15.75" customHeight="1">
      <c r="A49" s="494" t="s">
        <v>510</v>
      </c>
      <c r="B49" s="494"/>
      <c r="C49" s="495"/>
      <c r="D49" s="495"/>
      <c r="E49" s="496" t="s">
        <v>511</v>
      </c>
    </row>
    <row r="50" spans="1:4" ht="12.75">
      <c r="A50" s="492"/>
      <c r="B50" s="490"/>
      <c r="C50" s="490"/>
      <c r="D50" s="490"/>
    </row>
    <row r="51" spans="1:4" s="490" customFormat="1" ht="13.5" customHeight="1">
      <c r="A51" s="498"/>
      <c r="C51" s="499"/>
      <c r="D51" s="453"/>
    </row>
    <row r="52" spans="1:4" ht="12.75">
      <c r="A52" s="492"/>
      <c r="B52" s="490"/>
      <c r="C52" s="490"/>
      <c r="D52" s="490"/>
    </row>
    <row r="53" spans="1:4" s="490" customFormat="1" ht="11.25">
      <c r="A53" s="498"/>
      <c r="C53" s="499"/>
      <c r="D53" s="453"/>
    </row>
    <row r="54" spans="1:4" ht="13.5" customHeight="1">
      <c r="A54" s="492"/>
      <c r="B54" s="490"/>
      <c r="C54" s="490"/>
      <c r="D54" s="490"/>
    </row>
    <row r="55" spans="1:3" ht="12">
      <c r="A55" s="494"/>
      <c r="B55" s="500"/>
      <c r="C55" s="499"/>
    </row>
    <row r="56" spans="1:3" ht="12">
      <c r="A56" s="494"/>
      <c r="B56" s="500"/>
      <c r="C56" s="461"/>
    </row>
    <row r="58" spans="1:3" ht="12">
      <c r="A58" s="501"/>
      <c r="B58" s="500"/>
      <c r="C58" s="497"/>
    </row>
    <row r="59" spans="1:3" ht="12">
      <c r="A59" s="494"/>
      <c r="B59" s="500"/>
      <c r="C59" s="497"/>
    </row>
  </sheetData>
  <printOptions/>
  <pageMargins left="1.05" right="0.38" top="0.49" bottom="0.24" header="0.25" footer="0.31"/>
  <pageSetup firstPageNumber="26" useFirstPageNumber="1" horizontalDpi="600" verticalDpi="600" orientation="portrait" paperSize="9" r:id="rId1"/>
  <headerFooter alignWithMargins="0">
    <oddFooter>&amp;L&amp;"Arial,Regular"&amp;8          Valsts kase / Pārskatu departaments    
          15.05.00.
           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/>
  <dimension ref="A1:I65"/>
  <sheetViews>
    <sheetView showGridLines="0" showZeros="0" workbookViewId="0" topLeftCell="A19">
      <selection activeCell="B10" sqref="B10"/>
    </sheetView>
  </sheetViews>
  <sheetFormatPr defaultColWidth="9.140625" defaultRowHeight="12.75"/>
  <cols>
    <col min="1" max="1" width="41.00390625" style="459" customWidth="1"/>
    <col min="2" max="2" width="13.140625" style="523" customWidth="1"/>
    <col min="3" max="5" width="13.140625" style="453" customWidth="1"/>
    <col min="6" max="6" width="11.28125" style="453" customWidth="1"/>
    <col min="7" max="16384" width="8.00390625" style="453" customWidth="1"/>
  </cols>
  <sheetData>
    <row r="1" spans="1:6" ht="12.75">
      <c r="A1" s="451" t="s">
        <v>512</v>
      </c>
      <c r="B1" s="451"/>
      <c r="C1" s="452"/>
      <c r="D1" s="452"/>
      <c r="E1" s="452" t="s">
        <v>513</v>
      </c>
      <c r="F1" s="492" t="s">
        <v>514</v>
      </c>
    </row>
    <row r="2" spans="1:6" ht="12.75">
      <c r="A2" s="451"/>
      <c r="B2" s="451"/>
      <c r="C2" s="452"/>
      <c r="D2" s="452"/>
      <c r="E2" s="452"/>
      <c r="F2" s="492"/>
    </row>
    <row r="3" spans="1:6" ht="12.75">
      <c r="A3" s="451"/>
      <c r="B3" s="451"/>
      <c r="C3" s="452"/>
      <c r="D3" s="452"/>
      <c r="E3" s="452"/>
      <c r="F3" s="492"/>
    </row>
    <row r="4" spans="1:5" s="461" customFormat="1" ht="11.25">
      <c r="A4" s="502"/>
      <c r="B4" s="502"/>
      <c r="C4" s="503"/>
      <c r="D4" s="503"/>
      <c r="E4" s="503"/>
    </row>
    <row r="5" spans="1:6" ht="15.75">
      <c r="A5" s="455" t="s">
        <v>515</v>
      </c>
      <c r="B5" s="456"/>
      <c r="C5" s="457"/>
      <c r="D5" s="457"/>
      <c r="E5" s="457"/>
      <c r="F5" s="457"/>
    </row>
    <row r="6" spans="1:6" s="458" customFormat="1" ht="15.75">
      <c r="A6" s="455" t="s">
        <v>516</v>
      </c>
      <c r="B6" s="456"/>
      <c r="C6" s="457"/>
      <c r="D6" s="457"/>
      <c r="E6" s="457"/>
      <c r="F6" s="457"/>
    </row>
    <row r="7" spans="1:6" s="458" customFormat="1" ht="15">
      <c r="A7" s="459"/>
      <c r="B7" s="504"/>
      <c r="C7" s="460"/>
      <c r="D7" s="460"/>
      <c r="E7" s="460"/>
      <c r="F7" s="453"/>
    </row>
    <row r="8" spans="1:6" ht="11.25">
      <c r="A8" s="501"/>
      <c r="B8" s="505"/>
      <c r="C8" s="461"/>
      <c r="D8" s="503" t="s">
        <v>517</v>
      </c>
      <c r="E8" s="503"/>
      <c r="F8" s="506"/>
    </row>
    <row r="9" spans="1:5" s="461" customFormat="1" ht="43.5" customHeight="1">
      <c r="A9" s="507" t="s">
        <v>2</v>
      </c>
      <c r="B9" s="508" t="s">
        <v>475</v>
      </c>
      <c r="C9" s="508" t="s">
        <v>50</v>
      </c>
      <c r="D9" s="508" t="s">
        <v>476</v>
      </c>
      <c r="E9" s="509" t="s">
        <v>234</v>
      </c>
    </row>
    <row r="10" spans="1:5" ht="11.25">
      <c r="A10" s="468" t="s">
        <v>477</v>
      </c>
      <c r="B10" s="469" t="s">
        <v>518</v>
      </c>
      <c r="C10" s="469" t="s">
        <v>519</v>
      </c>
      <c r="D10" s="469" t="s">
        <v>520</v>
      </c>
      <c r="E10" s="470" t="s">
        <v>478</v>
      </c>
    </row>
    <row r="11" spans="1:5" ht="12.75">
      <c r="A11" s="475" t="s">
        <v>521</v>
      </c>
      <c r="B11" s="472"/>
      <c r="C11" s="472">
        <f>C12+C30</f>
        <v>128125</v>
      </c>
      <c r="D11" s="473"/>
      <c r="E11" s="474">
        <v>33791</v>
      </c>
    </row>
    <row r="12" spans="1:5" s="467" customFormat="1" ht="12.75">
      <c r="A12" s="510" t="s">
        <v>522</v>
      </c>
      <c r="B12" s="472"/>
      <c r="C12" s="472">
        <v>117597</v>
      </c>
      <c r="D12" s="473"/>
      <c r="E12" s="474">
        <v>30955</v>
      </c>
    </row>
    <row r="13" spans="1:5" s="497" customFormat="1" ht="12">
      <c r="A13" s="479" t="s">
        <v>523</v>
      </c>
      <c r="B13" s="472"/>
      <c r="C13" s="472">
        <v>13493</v>
      </c>
      <c r="D13" s="473"/>
      <c r="E13" s="474">
        <v>3851</v>
      </c>
    </row>
    <row r="14" spans="1:5" s="497" customFormat="1" ht="12">
      <c r="A14" s="479" t="s">
        <v>423</v>
      </c>
      <c r="B14" s="472"/>
      <c r="C14" s="472">
        <v>44</v>
      </c>
      <c r="D14" s="473"/>
      <c r="E14" s="474">
        <v>10</v>
      </c>
    </row>
    <row r="15" spans="1:5" s="497" customFormat="1" ht="12">
      <c r="A15" s="479" t="s">
        <v>424</v>
      </c>
      <c r="B15" s="472"/>
      <c r="C15" s="472">
        <v>1834</v>
      </c>
      <c r="D15" s="473"/>
      <c r="E15" s="474">
        <v>433</v>
      </c>
    </row>
    <row r="16" spans="1:9" s="497" customFormat="1" ht="12">
      <c r="A16" s="479" t="s">
        <v>425</v>
      </c>
      <c r="B16" s="472"/>
      <c r="C16" s="472">
        <v>60180</v>
      </c>
      <c r="D16" s="473"/>
      <c r="E16" s="474">
        <v>15918</v>
      </c>
      <c r="I16" s="497" t="s">
        <v>514</v>
      </c>
    </row>
    <row r="17" spans="1:5" s="497" customFormat="1" ht="12">
      <c r="A17" s="479" t="s">
        <v>426</v>
      </c>
      <c r="B17" s="472"/>
      <c r="C17" s="472">
        <v>1531</v>
      </c>
      <c r="D17" s="473"/>
      <c r="E17" s="474">
        <v>338</v>
      </c>
    </row>
    <row r="18" spans="1:5" s="497" customFormat="1" ht="12">
      <c r="A18" s="479" t="s">
        <v>427</v>
      </c>
      <c r="B18" s="472"/>
      <c r="C18" s="472">
        <v>10930</v>
      </c>
      <c r="D18" s="473"/>
      <c r="E18" s="474">
        <v>2864</v>
      </c>
    </row>
    <row r="19" spans="1:5" s="497" customFormat="1" ht="12">
      <c r="A19" s="479" t="s">
        <v>428</v>
      </c>
      <c r="B19" s="472"/>
      <c r="C19" s="472">
        <v>15518</v>
      </c>
      <c r="D19" s="473"/>
      <c r="E19" s="474">
        <v>3782</v>
      </c>
    </row>
    <row r="20" spans="1:5" s="497" customFormat="1" ht="12">
      <c r="A20" s="479" t="s">
        <v>524</v>
      </c>
      <c r="B20" s="472"/>
      <c r="C20" s="472">
        <v>10080</v>
      </c>
      <c r="D20" s="473"/>
      <c r="E20" s="474">
        <v>2415</v>
      </c>
    </row>
    <row r="21" spans="1:5" s="497" customFormat="1" ht="12">
      <c r="A21" s="479" t="s">
        <v>430</v>
      </c>
      <c r="B21" s="472"/>
      <c r="C21" s="472">
        <v>237</v>
      </c>
      <c r="D21" s="473"/>
      <c r="E21" s="474">
        <v>20</v>
      </c>
    </row>
    <row r="22" spans="1:5" s="497" customFormat="1" ht="12">
      <c r="A22" s="479" t="s">
        <v>525</v>
      </c>
      <c r="B22" s="472"/>
      <c r="C22" s="472">
        <v>303</v>
      </c>
      <c r="D22" s="473"/>
      <c r="E22" s="474">
        <v>131</v>
      </c>
    </row>
    <row r="23" spans="1:5" s="497" customFormat="1" ht="22.5">
      <c r="A23" s="479" t="s">
        <v>432</v>
      </c>
      <c r="B23" s="472"/>
      <c r="C23" s="472">
        <v>27</v>
      </c>
      <c r="D23" s="473"/>
      <c r="E23" s="474">
        <v>1</v>
      </c>
    </row>
    <row r="24" spans="1:5" s="497" customFormat="1" ht="12">
      <c r="A24" s="479" t="s">
        <v>526</v>
      </c>
      <c r="B24" s="472"/>
      <c r="C24" s="472">
        <v>1783</v>
      </c>
      <c r="D24" s="473"/>
      <c r="E24" s="474">
        <v>592</v>
      </c>
    </row>
    <row r="25" spans="1:5" s="497" customFormat="1" ht="12">
      <c r="A25" s="479" t="s">
        <v>434</v>
      </c>
      <c r="B25" s="472"/>
      <c r="C25" s="472">
        <v>318</v>
      </c>
      <c r="D25" s="473"/>
      <c r="E25" s="474">
        <v>76</v>
      </c>
    </row>
    <row r="26" spans="1:5" s="497" customFormat="1" ht="12">
      <c r="A26" s="479" t="s">
        <v>527</v>
      </c>
      <c r="B26" s="472"/>
      <c r="C26" s="472">
        <v>1045</v>
      </c>
      <c r="D26" s="473"/>
      <c r="E26" s="474">
        <v>417</v>
      </c>
    </row>
    <row r="27" spans="1:5" s="497" customFormat="1" ht="12">
      <c r="A27" s="479" t="s">
        <v>528</v>
      </c>
      <c r="B27" s="472"/>
      <c r="C27" s="472">
        <v>60</v>
      </c>
      <c r="D27" s="473"/>
      <c r="E27" s="474">
        <v>37</v>
      </c>
    </row>
    <row r="28" spans="1:5" s="497" customFormat="1" ht="12">
      <c r="A28" s="479" t="s">
        <v>529</v>
      </c>
      <c r="B28" s="472"/>
      <c r="C28" s="472">
        <v>15</v>
      </c>
      <c r="D28" s="473"/>
      <c r="E28" s="474">
        <v>14</v>
      </c>
    </row>
    <row r="29" spans="1:5" s="497" customFormat="1" ht="12">
      <c r="A29" s="479" t="s">
        <v>530</v>
      </c>
      <c r="B29" s="472"/>
      <c r="C29" s="472">
        <v>199</v>
      </c>
      <c r="D29" s="473"/>
      <c r="E29" s="474">
        <v>56</v>
      </c>
    </row>
    <row r="30" spans="1:5" s="497" customFormat="1" ht="12.75" customHeight="1">
      <c r="A30" s="510" t="s">
        <v>531</v>
      </c>
      <c r="B30" s="472"/>
      <c r="C30" s="472">
        <v>10528</v>
      </c>
      <c r="D30" s="473"/>
      <c r="E30" s="474">
        <v>2836</v>
      </c>
    </row>
    <row r="31" spans="1:5" s="497" customFormat="1" ht="12">
      <c r="A31" s="511" t="s">
        <v>496</v>
      </c>
      <c r="B31" s="472"/>
      <c r="C31" s="472">
        <v>2433</v>
      </c>
      <c r="D31" s="473"/>
      <c r="E31" s="474">
        <v>802</v>
      </c>
    </row>
    <row r="32" spans="1:5" s="497" customFormat="1" ht="22.5">
      <c r="A32" s="512" t="s">
        <v>532</v>
      </c>
      <c r="B32" s="472"/>
      <c r="C32" s="472">
        <v>2088</v>
      </c>
      <c r="D32" s="473"/>
      <c r="E32" s="474">
        <v>732</v>
      </c>
    </row>
    <row r="33" spans="1:5" s="497" customFormat="1" ht="22.5">
      <c r="A33" s="512" t="s">
        <v>533</v>
      </c>
      <c r="B33" s="472"/>
      <c r="C33" s="472">
        <v>140</v>
      </c>
      <c r="D33" s="473"/>
      <c r="E33" s="474">
        <v>42</v>
      </c>
    </row>
    <row r="34" spans="1:5" s="497" customFormat="1" ht="12">
      <c r="A34" s="512" t="s">
        <v>499</v>
      </c>
      <c r="B34" s="472"/>
      <c r="C34" s="472">
        <v>205</v>
      </c>
      <c r="D34" s="473"/>
      <c r="E34" s="474">
        <v>28</v>
      </c>
    </row>
    <row r="35" spans="1:5" s="497" customFormat="1" ht="22.5">
      <c r="A35" s="511" t="s">
        <v>534</v>
      </c>
      <c r="B35" s="472"/>
      <c r="C35" s="472">
        <v>8095</v>
      </c>
      <c r="D35" s="473"/>
      <c r="E35" s="474">
        <v>2034</v>
      </c>
    </row>
    <row r="36" spans="1:5" s="497" customFormat="1" ht="12">
      <c r="A36" s="512" t="s">
        <v>535</v>
      </c>
      <c r="B36" s="472"/>
      <c r="C36" s="472">
        <v>8095</v>
      </c>
      <c r="D36" s="513"/>
      <c r="E36" s="474">
        <v>2034</v>
      </c>
    </row>
    <row r="37" spans="1:5" s="517" customFormat="1" ht="12">
      <c r="A37" s="514" t="s">
        <v>536</v>
      </c>
      <c r="B37" s="485"/>
      <c r="C37" s="515"/>
      <c r="D37" s="486"/>
      <c r="E37" s="516"/>
    </row>
    <row r="38" spans="1:8" s="497" customFormat="1" ht="12">
      <c r="A38" s="461" t="s">
        <v>537</v>
      </c>
      <c r="C38" s="518"/>
      <c r="E38" s="453"/>
      <c r="F38" s="453"/>
      <c r="G38" s="453"/>
      <c r="H38" s="453"/>
    </row>
    <row r="39" spans="1:8" s="497" customFormat="1" ht="12">
      <c r="A39" s="519"/>
      <c r="B39" s="520"/>
      <c r="C39" s="518"/>
      <c r="D39" s="521"/>
      <c r="E39" s="453"/>
      <c r="F39" s="453"/>
      <c r="G39" s="453"/>
      <c r="H39" s="453"/>
    </row>
    <row r="40" spans="1:8" s="497" customFormat="1" ht="12">
      <c r="A40" s="519"/>
      <c r="B40" s="520"/>
      <c r="C40" s="518"/>
      <c r="D40" s="521"/>
      <c r="E40" s="453"/>
      <c r="F40" s="453"/>
      <c r="G40" s="453"/>
      <c r="H40" s="453"/>
    </row>
    <row r="41" spans="1:8" s="497" customFormat="1" ht="12">
      <c r="A41" s="494"/>
      <c r="B41" s="518"/>
      <c r="C41" s="521"/>
      <c r="E41" s="453"/>
      <c r="F41" s="453"/>
      <c r="G41" s="453"/>
      <c r="H41" s="453"/>
    </row>
    <row r="42" spans="1:8" s="497" customFormat="1" ht="12">
      <c r="A42" s="494" t="s">
        <v>510</v>
      </c>
      <c r="B42" s="494"/>
      <c r="C42" s="495"/>
      <c r="D42" s="495"/>
      <c r="E42" s="496" t="s">
        <v>511</v>
      </c>
      <c r="F42" s="453"/>
      <c r="G42" s="453"/>
      <c r="H42" s="453"/>
    </row>
    <row r="43" spans="1:8" s="497" customFormat="1" ht="12">
      <c r="A43" s="494"/>
      <c r="B43" s="494"/>
      <c r="C43" s="522"/>
      <c r="D43" s="522"/>
      <c r="E43" s="453"/>
      <c r="F43" s="453"/>
      <c r="G43" s="453"/>
      <c r="H43" s="453"/>
    </row>
    <row r="44" spans="1:8" s="497" customFormat="1" ht="12">
      <c r="A44" s="494"/>
      <c r="B44" s="518"/>
      <c r="E44" s="453"/>
      <c r="F44" s="453"/>
      <c r="G44" s="453"/>
      <c r="H44" s="453"/>
    </row>
    <row r="45" spans="1:8" s="497" customFormat="1" ht="12">
      <c r="A45" s="494"/>
      <c r="B45" s="494"/>
      <c r="C45" s="522"/>
      <c r="D45" s="522"/>
      <c r="E45" s="453"/>
      <c r="F45" s="453"/>
      <c r="G45" s="453"/>
      <c r="H45" s="453"/>
    </row>
    <row r="46" spans="1:8" s="497" customFormat="1" ht="12">
      <c r="A46" s="494"/>
      <c r="B46" s="494"/>
      <c r="C46" s="522"/>
      <c r="E46" s="453"/>
      <c r="F46" s="453"/>
      <c r="G46" s="453"/>
      <c r="H46" s="453"/>
    </row>
    <row r="47" spans="1:4" ht="12">
      <c r="A47" s="494"/>
      <c r="B47" s="459"/>
      <c r="C47" s="500"/>
      <c r="D47" s="522"/>
    </row>
    <row r="65" spans="5:8" ht="11.25">
      <c r="E65" s="453">
        <v>0</v>
      </c>
      <c r="F65" s="453">
        <v>0</v>
      </c>
      <c r="G65" s="453">
        <v>0</v>
      </c>
      <c r="H65" s="453">
        <v>0</v>
      </c>
    </row>
  </sheetData>
  <printOptions/>
  <pageMargins left="0.79" right="0.15748031496062992" top="1.03" bottom="0.25" header="0.25" footer="0.24"/>
  <pageSetup firstPageNumber="27" useFirstPageNumber="1" horizontalDpi="600" verticalDpi="600" orientation="portrait" paperSize="9" r:id="rId1"/>
  <headerFooter alignWithMargins="0">
    <oddFooter>&amp;L&amp;"Arial,Regular"&amp;8  Valsts kase / Pārskatu departaments
   15.05.00.
&amp;R&amp;P</oddFooter>
  </headerFooter>
  <rowBreaks count="1" manualBreakCount="1">
    <brk id="48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F49"/>
  <sheetViews>
    <sheetView showGridLines="0" showZeros="0" workbookViewId="0" topLeftCell="A11">
      <selection activeCell="B10" sqref="B10"/>
    </sheetView>
  </sheetViews>
  <sheetFormatPr defaultColWidth="9.140625" defaultRowHeight="12.75"/>
  <cols>
    <col min="1" max="1" width="40.57421875" style="459" customWidth="1"/>
    <col min="2" max="5" width="12.28125" style="453" customWidth="1"/>
    <col min="6" max="16384" width="8.00390625" style="453" customWidth="1"/>
  </cols>
  <sheetData>
    <row r="1" spans="1:5" s="461" customFormat="1" ht="12.75">
      <c r="A1" s="451" t="s">
        <v>538</v>
      </c>
      <c r="B1" s="452"/>
      <c r="C1" s="452"/>
      <c r="D1" s="452"/>
      <c r="E1" s="452" t="s">
        <v>539</v>
      </c>
    </row>
    <row r="2" spans="1:6" s="467" customFormat="1" ht="12.75">
      <c r="A2" s="451"/>
      <c r="B2" s="452"/>
      <c r="C2" s="452"/>
      <c r="D2" s="452"/>
      <c r="E2" s="524"/>
      <c r="F2" s="492"/>
    </row>
    <row r="3" spans="1:5" s="461" customFormat="1" ht="11.25">
      <c r="A3" s="501"/>
      <c r="D3" s="503"/>
      <c r="E3" s="503"/>
    </row>
    <row r="4" spans="1:5" s="458" customFormat="1" ht="15.75">
      <c r="A4" s="455" t="s">
        <v>540</v>
      </c>
      <c r="B4" s="457"/>
      <c r="C4" s="457"/>
      <c r="D4" s="457"/>
      <c r="E4" s="457"/>
    </row>
    <row r="5" spans="1:5" s="458" customFormat="1" ht="15.75">
      <c r="A5" s="455" t="s">
        <v>516</v>
      </c>
      <c r="B5" s="457"/>
      <c r="C5" s="457"/>
      <c r="D5" s="457"/>
      <c r="E5" s="457"/>
    </row>
    <row r="6" spans="1:4" ht="15">
      <c r="A6" s="525"/>
      <c r="B6" s="460"/>
      <c r="C6" s="460"/>
      <c r="D6" s="460"/>
    </row>
    <row r="7" spans="1:4" ht="15">
      <c r="A7" s="525"/>
      <c r="B7" s="460"/>
      <c r="C7" s="460"/>
      <c r="D7" s="460"/>
    </row>
    <row r="8" spans="1:5" s="461" customFormat="1" ht="11.25" customHeight="1">
      <c r="A8" s="501"/>
      <c r="C8" s="503" t="s">
        <v>541</v>
      </c>
      <c r="D8" s="503"/>
      <c r="E8" s="503"/>
    </row>
    <row r="9" spans="1:5" s="461" customFormat="1" ht="33.75" customHeight="1">
      <c r="A9" s="507" t="s">
        <v>2</v>
      </c>
      <c r="B9" s="508" t="s">
        <v>475</v>
      </c>
      <c r="C9" s="508" t="s">
        <v>50</v>
      </c>
      <c r="D9" s="508" t="s">
        <v>476</v>
      </c>
      <c r="E9" s="509" t="s">
        <v>234</v>
      </c>
    </row>
    <row r="10" spans="1:5" s="467" customFormat="1" ht="12.75" customHeight="1">
      <c r="A10" s="468" t="s">
        <v>477</v>
      </c>
      <c r="B10" s="469" t="s">
        <v>518</v>
      </c>
      <c r="C10" s="469" t="s">
        <v>519</v>
      </c>
      <c r="D10" s="469" t="s">
        <v>520</v>
      </c>
      <c r="E10" s="470" t="s">
        <v>478</v>
      </c>
    </row>
    <row r="11" spans="1:5" s="467" customFormat="1" ht="12.75" customHeight="1">
      <c r="A11" s="475" t="s">
        <v>235</v>
      </c>
      <c r="B11" s="472"/>
      <c r="C11" s="472">
        <v>134130</v>
      </c>
      <c r="D11" s="473"/>
      <c r="E11" s="474">
        <v>34983</v>
      </c>
    </row>
    <row r="12" spans="1:5" s="467" customFormat="1" ht="12.75">
      <c r="A12" s="475" t="s">
        <v>542</v>
      </c>
      <c r="B12" s="472"/>
      <c r="C12" s="472">
        <f>C13+C31</f>
        <v>128206</v>
      </c>
      <c r="D12" s="473"/>
      <c r="E12" s="474">
        <f>E13+E31</f>
        <v>33819</v>
      </c>
    </row>
    <row r="13" spans="1:5" s="490" customFormat="1" ht="11.25" customHeight="1">
      <c r="A13" s="510" t="s">
        <v>243</v>
      </c>
      <c r="B13" s="472"/>
      <c r="C13" s="472">
        <f>C14+C24+C25</f>
        <v>115890</v>
      </c>
      <c r="D13" s="473"/>
      <c r="E13" s="474">
        <f>E14+E24+E25</f>
        <v>30690</v>
      </c>
    </row>
    <row r="14" spans="1:5" s="490" customFormat="1" ht="11.25" customHeight="1">
      <c r="A14" s="526" t="s">
        <v>244</v>
      </c>
      <c r="B14" s="472"/>
      <c r="C14" s="472">
        <v>93186</v>
      </c>
      <c r="D14" s="473"/>
      <c r="E14" s="474">
        <v>24782</v>
      </c>
    </row>
    <row r="15" spans="1:5" ht="12">
      <c r="A15" s="512" t="s">
        <v>543</v>
      </c>
      <c r="B15" s="472"/>
      <c r="C15" s="472">
        <v>45473</v>
      </c>
      <c r="D15" s="473"/>
      <c r="E15" s="474">
        <v>12230</v>
      </c>
    </row>
    <row r="16" spans="1:5" ht="12">
      <c r="A16" s="512" t="s">
        <v>544</v>
      </c>
      <c r="B16" s="472"/>
      <c r="C16" s="472">
        <v>11986</v>
      </c>
      <c r="D16" s="473"/>
      <c r="E16" s="474">
        <v>3255</v>
      </c>
    </row>
    <row r="17" spans="1:5" ht="12" hidden="1">
      <c r="A17" s="512" t="s">
        <v>545</v>
      </c>
      <c r="B17" s="472"/>
      <c r="C17" s="472">
        <v>11986</v>
      </c>
      <c r="D17" s="473"/>
      <c r="E17" s="474">
        <v>3255</v>
      </c>
    </row>
    <row r="18" spans="1:5" ht="12" hidden="1">
      <c r="A18" s="512" t="s">
        <v>546</v>
      </c>
      <c r="B18" s="472"/>
      <c r="C18" s="472">
        <v>416</v>
      </c>
      <c r="D18" s="473"/>
      <c r="E18" s="474">
        <v>136</v>
      </c>
    </row>
    <row r="19" spans="1:5" ht="12" hidden="1">
      <c r="A19" s="512" t="s">
        <v>547</v>
      </c>
      <c r="B19" s="472"/>
      <c r="C19" s="472">
        <v>14278</v>
      </c>
      <c r="D19" s="473"/>
      <c r="E19" s="474">
        <v>4243</v>
      </c>
    </row>
    <row r="20" spans="1:5" ht="12" hidden="1">
      <c r="A20" s="512" t="s">
        <v>548</v>
      </c>
      <c r="B20" s="472"/>
      <c r="C20" s="472">
        <v>20632</v>
      </c>
      <c r="D20" s="473"/>
      <c r="E20" s="474">
        <v>5010</v>
      </c>
    </row>
    <row r="21" spans="1:5" ht="12">
      <c r="A21" s="512" t="s">
        <v>549</v>
      </c>
      <c r="B21" s="472"/>
      <c r="C21" s="472">
        <v>35727</v>
      </c>
      <c r="D21" s="473"/>
      <c r="E21" s="474">
        <v>9297</v>
      </c>
    </row>
    <row r="22" spans="1:5" ht="12">
      <c r="A22" s="527" t="s">
        <v>550</v>
      </c>
      <c r="B22" s="472"/>
      <c r="C22" s="472">
        <v>34910</v>
      </c>
      <c r="D22" s="473"/>
      <c r="E22" s="474">
        <v>9065</v>
      </c>
    </row>
    <row r="23" spans="1:5" ht="12">
      <c r="A23" s="527" t="s">
        <v>551</v>
      </c>
      <c r="B23" s="472"/>
      <c r="C23" s="472">
        <v>817</v>
      </c>
      <c r="D23" s="473"/>
      <c r="E23" s="474">
        <v>232</v>
      </c>
    </row>
    <row r="24" spans="1:5" ht="12">
      <c r="A24" s="526" t="s">
        <v>552</v>
      </c>
      <c r="B24" s="472"/>
      <c r="C24" s="472">
        <v>1135</v>
      </c>
      <c r="D24" s="473"/>
      <c r="E24" s="474">
        <v>466</v>
      </c>
    </row>
    <row r="25" spans="1:5" ht="12">
      <c r="A25" s="526" t="s">
        <v>253</v>
      </c>
      <c r="B25" s="472"/>
      <c r="C25" s="472">
        <v>21569</v>
      </c>
      <c r="D25" s="473"/>
      <c r="E25" s="474">
        <v>5442</v>
      </c>
    </row>
    <row r="26" spans="1:5" ht="12">
      <c r="A26" s="512" t="s">
        <v>553</v>
      </c>
      <c r="B26" s="472"/>
      <c r="C26" s="472">
        <v>173</v>
      </c>
      <c r="D26" s="473"/>
      <c r="E26" s="474">
        <v>-2</v>
      </c>
    </row>
    <row r="27" spans="1:5" ht="12">
      <c r="A27" s="512" t="s">
        <v>554</v>
      </c>
      <c r="B27" s="472"/>
      <c r="C27" s="472">
        <v>1485</v>
      </c>
      <c r="D27" s="473"/>
      <c r="E27" s="474">
        <v>737</v>
      </c>
    </row>
    <row r="28" spans="1:5" ht="12">
      <c r="A28" s="512" t="s">
        <v>555</v>
      </c>
      <c r="B28" s="472"/>
      <c r="C28" s="472">
        <v>8404</v>
      </c>
      <c r="D28" s="473"/>
      <c r="E28" s="474">
        <v>2262</v>
      </c>
    </row>
    <row r="29" spans="1:5" ht="12">
      <c r="A29" s="512" t="s">
        <v>556</v>
      </c>
      <c r="B29" s="472"/>
      <c r="C29" s="472">
        <v>5857</v>
      </c>
      <c r="D29" s="473"/>
      <c r="E29" s="474">
        <v>989</v>
      </c>
    </row>
    <row r="30" spans="1:5" ht="12">
      <c r="A30" s="512" t="s">
        <v>557</v>
      </c>
      <c r="B30" s="472"/>
      <c r="C30" s="472">
        <v>5650</v>
      </c>
      <c r="D30" s="473"/>
      <c r="E30" s="474">
        <v>1456</v>
      </c>
    </row>
    <row r="31" spans="1:5" s="490" customFormat="1" ht="11.25" customHeight="1">
      <c r="A31" s="528" t="s">
        <v>558</v>
      </c>
      <c r="B31" s="472"/>
      <c r="C31" s="472">
        <v>12316</v>
      </c>
      <c r="D31" s="473"/>
      <c r="E31" s="474">
        <v>3129</v>
      </c>
    </row>
    <row r="32" spans="1:6" s="490" customFormat="1" ht="11.25" customHeight="1">
      <c r="A32" s="512" t="s">
        <v>274</v>
      </c>
      <c r="B32" s="472"/>
      <c r="C32" s="472">
        <v>5022</v>
      </c>
      <c r="D32" s="473"/>
      <c r="E32" s="474">
        <v>1415</v>
      </c>
      <c r="F32" s="529"/>
    </row>
    <row r="33" spans="1:5" ht="12" hidden="1">
      <c r="A33" s="512" t="s">
        <v>274</v>
      </c>
      <c r="B33" s="472"/>
      <c r="C33" s="472">
        <v>4904</v>
      </c>
      <c r="D33" s="473"/>
      <c r="E33" s="474">
        <v>1389</v>
      </c>
    </row>
    <row r="34" spans="1:5" ht="12" hidden="1">
      <c r="A34" s="512" t="s">
        <v>559</v>
      </c>
      <c r="B34" s="472"/>
      <c r="C34" s="472">
        <v>4904</v>
      </c>
      <c r="D34" s="473"/>
      <c r="E34" s="474">
        <v>1389</v>
      </c>
    </row>
    <row r="35" spans="1:5" ht="12">
      <c r="A35" s="512" t="s">
        <v>276</v>
      </c>
      <c r="B35" s="472"/>
      <c r="C35" s="472">
        <v>7294</v>
      </c>
      <c r="D35" s="473"/>
      <c r="E35" s="474">
        <v>1714</v>
      </c>
    </row>
    <row r="36" spans="1:5" s="490" customFormat="1" ht="11.25" customHeight="1">
      <c r="A36" s="510" t="s">
        <v>560</v>
      </c>
      <c r="B36" s="472"/>
      <c r="C36" s="472">
        <v>-81</v>
      </c>
      <c r="D36" s="473"/>
      <c r="E36" s="474">
        <v>-28</v>
      </c>
    </row>
    <row r="37" spans="1:5" ht="12.75" customHeight="1">
      <c r="A37" s="512" t="s">
        <v>561</v>
      </c>
      <c r="B37" s="472"/>
      <c r="C37" s="472">
        <v>151</v>
      </c>
      <c r="D37" s="473"/>
      <c r="E37" s="474">
        <v>50</v>
      </c>
    </row>
    <row r="38" spans="1:5" ht="12.75" customHeight="1">
      <c r="A38" s="514" t="s">
        <v>562</v>
      </c>
      <c r="B38" s="485"/>
      <c r="C38" s="485">
        <v>232</v>
      </c>
      <c r="D38" s="486"/>
      <c r="E38" s="487">
        <v>78</v>
      </c>
    </row>
    <row r="39" spans="1:5" ht="12.75" customHeight="1">
      <c r="A39" s="530" t="s">
        <v>390</v>
      </c>
      <c r="B39" s="531"/>
      <c r="C39" s="531">
        <f>C11-C12-C36</f>
        <v>6005</v>
      </c>
      <c r="D39" s="532"/>
      <c r="E39" s="533">
        <f>E11-E12-E36</f>
        <v>1192</v>
      </c>
    </row>
    <row r="40" spans="1:5" s="497" customFormat="1" ht="12">
      <c r="A40" s="534"/>
      <c r="B40" s="518"/>
      <c r="C40" s="518"/>
      <c r="D40" s="518"/>
      <c r="E40" s="518"/>
    </row>
    <row r="41" spans="1:5" s="497" customFormat="1" ht="12">
      <c r="A41" s="493"/>
      <c r="B41" s="518"/>
      <c r="C41" s="518"/>
      <c r="D41" s="518"/>
      <c r="E41" s="518"/>
    </row>
    <row r="42" spans="1:6" ht="12">
      <c r="A42" s="518"/>
      <c r="B42" s="518"/>
      <c r="C42" s="518"/>
      <c r="D42" s="518"/>
      <c r="E42" s="518"/>
      <c r="F42" s="500"/>
    </row>
    <row r="43" spans="1:5" s="497" customFormat="1" ht="12">
      <c r="A43" s="494" t="s">
        <v>510</v>
      </c>
      <c r="B43" s="494"/>
      <c r="C43" s="495"/>
      <c r="D43" s="495"/>
      <c r="E43" s="518" t="s">
        <v>511</v>
      </c>
    </row>
    <row r="44" spans="4:5" s="497" customFormat="1" ht="12">
      <c r="D44" s="518"/>
      <c r="E44" s="518"/>
    </row>
    <row r="45" spans="1:5" s="497" customFormat="1" ht="12">
      <c r="A45" s="518"/>
      <c r="B45" s="522"/>
      <c r="C45" s="522"/>
      <c r="D45" s="518"/>
      <c r="E45" s="518"/>
    </row>
    <row r="46" spans="1:5" s="497" customFormat="1" ht="12">
      <c r="A46" s="518"/>
      <c r="B46" s="522"/>
      <c r="D46" s="518"/>
      <c r="E46" s="518"/>
    </row>
    <row r="47" spans="1:5" ht="12">
      <c r="A47" s="523"/>
      <c r="B47" s="500"/>
      <c r="D47" s="518"/>
      <c r="E47" s="518"/>
    </row>
    <row r="48" spans="4:6" ht="12">
      <c r="D48" s="518"/>
      <c r="E48" s="518"/>
      <c r="F48" s="500"/>
    </row>
    <row r="49" spans="4:5" ht="12">
      <c r="D49" s="518"/>
      <c r="E49" s="518"/>
    </row>
  </sheetData>
  <printOptions/>
  <pageMargins left="1.09" right="0.15748031496062992" top="2.19" bottom="0.984251968503937" header="0.25" footer="0"/>
  <pageSetup firstPageNumber="28" useFirstPageNumber="1" horizontalDpi="600" verticalDpi="600" orientation="portrait" paperSize="9" r:id="rId1"/>
  <headerFooter alignWithMargins="0">
    <oddFooter>&amp;L&amp;"Arial,Regular"&amp;8           Valsts kase / Pārskatu departaments
           15.05.00.
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G37"/>
  <sheetViews>
    <sheetView showZeros="0" workbookViewId="0" topLeftCell="A1">
      <selection activeCell="B10" sqref="B10"/>
    </sheetView>
  </sheetViews>
  <sheetFormatPr defaultColWidth="9.140625" defaultRowHeight="12.75"/>
  <cols>
    <col min="1" max="1" width="42.7109375" style="453" customWidth="1"/>
    <col min="2" max="5" width="12.28125" style="453" customWidth="1"/>
    <col min="6" max="16384" width="8.00390625" style="453" customWidth="1"/>
  </cols>
  <sheetData>
    <row r="1" spans="1:5" s="461" customFormat="1" ht="12.75">
      <c r="A1" s="452" t="s">
        <v>538</v>
      </c>
      <c r="B1" s="452"/>
      <c r="C1" s="452"/>
      <c r="D1" s="452"/>
      <c r="E1" s="452" t="s">
        <v>563</v>
      </c>
    </row>
    <row r="2" spans="1:5" s="461" customFormat="1" ht="12.75">
      <c r="A2" s="452"/>
      <c r="B2" s="452"/>
      <c r="C2" s="452"/>
      <c r="D2" s="452"/>
      <c r="E2" s="452"/>
    </row>
    <row r="4" spans="1:5" s="458" customFormat="1" ht="15.75">
      <c r="A4" s="455" t="s">
        <v>564</v>
      </c>
      <c r="B4" s="457"/>
      <c r="C4" s="457"/>
      <c r="D4" s="457"/>
      <c r="E4" s="457"/>
    </row>
    <row r="5" spans="1:5" ht="15.75">
      <c r="A5" s="455" t="s">
        <v>516</v>
      </c>
      <c r="B5" s="460"/>
      <c r="C5" s="460"/>
      <c r="D5" s="460"/>
      <c r="E5" s="460"/>
    </row>
    <row r="6" spans="1:5" ht="11.25">
      <c r="A6" s="523"/>
      <c r="B6" s="460"/>
      <c r="C6" s="460"/>
      <c r="D6" s="460"/>
      <c r="E6" s="460"/>
    </row>
    <row r="7" spans="1:5" ht="11.25">
      <c r="A7" s="523"/>
      <c r="B7" s="460"/>
      <c r="C7" s="460"/>
      <c r="D7" s="460"/>
      <c r="E7" s="460"/>
    </row>
    <row r="8" spans="4:5" s="461" customFormat="1" ht="11.25">
      <c r="D8" s="503" t="s">
        <v>565</v>
      </c>
      <c r="E8" s="503"/>
    </row>
    <row r="9" spans="1:5" s="467" customFormat="1" ht="30.75" customHeight="1">
      <c r="A9" s="507" t="s">
        <v>2</v>
      </c>
      <c r="B9" s="508" t="s">
        <v>475</v>
      </c>
      <c r="C9" s="508" t="s">
        <v>50</v>
      </c>
      <c r="D9" s="508" t="s">
        <v>476</v>
      </c>
      <c r="E9" s="509" t="s">
        <v>234</v>
      </c>
    </row>
    <row r="10" spans="1:5" s="497" customFormat="1" ht="11.25" customHeight="1">
      <c r="A10" s="535">
        <v>1</v>
      </c>
      <c r="B10" s="536">
        <v>2</v>
      </c>
      <c r="C10" s="536">
        <v>3</v>
      </c>
      <c r="D10" s="537">
        <v>4</v>
      </c>
      <c r="E10" s="538" t="s">
        <v>478</v>
      </c>
    </row>
    <row r="11" spans="1:5" s="497" customFormat="1" ht="12.75">
      <c r="A11" s="539" t="s">
        <v>566</v>
      </c>
      <c r="B11" s="472"/>
      <c r="C11" s="472">
        <v>18478</v>
      </c>
      <c r="D11" s="540"/>
      <c r="E11" s="474">
        <v>5049</v>
      </c>
    </row>
    <row r="12" spans="1:5" ht="25.5">
      <c r="A12" s="539" t="s">
        <v>567</v>
      </c>
      <c r="B12" s="472"/>
      <c r="C12" s="472">
        <v>17526</v>
      </c>
      <c r="D12" s="540"/>
      <c r="E12" s="474">
        <v>4790</v>
      </c>
    </row>
    <row r="13" spans="1:5" ht="12">
      <c r="A13" s="541" t="s">
        <v>568</v>
      </c>
      <c r="B13" s="472"/>
      <c r="C13" s="472">
        <v>7853</v>
      </c>
      <c r="D13" s="540"/>
      <c r="E13" s="474">
        <v>2869</v>
      </c>
    </row>
    <row r="14" spans="1:5" ht="12">
      <c r="A14" s="541" t="s">
        <v>569</v>
      </c>
      <c r="B14" s="472"/>
      <c r="C14" s="472">
        <v>750</v>
      </c>
      <c r="D14" s="540"/>
      <c r="E14" s="474">
        <v>96</v>
      </c>
    </row>
    <row r="15" spans="1:5" ht="12">
      <c r="A15" s="541" t="s">
        <v>570</v>
      </c>
      <c r="B15" s="472"/>
      <c r="C15" s="472">
        <v>3486</v>
      </c>
      <c r="D15" s="540"/>
      <c r="E15" s="474">
        <v>807</v>
      </c>
    </row>
    <row r="16" spans="1:5" ht="12">
      <c r="A16" s="541" t="s">
        <v>571</v>
      </c>
      <c r="B16" s="472"/>
      <c r="C16" s="472">
        <v>5437</v>
      </c>
      <c r="D16" s="540"/>
      <c r="E16" s="474">
        <v>1018</v>
      </c>
    </row>
    <row r="17" spans="1:5" ht="25.5">
      <c r="A17" s="542" t="s">
        <v>572</v>
      </c>
      <c r="B17" s="472"/>
      <c r="C17" s="472">
        <v>952</v>
      </c>
      <c r="D17" s="540"/>
      <c r="E17" s="474">
        <v>259</v>
      </c>
    </row>
    <row r="18" spans="1:7" s="497" customFormat="1" ht="12.75">
      <c r="A18" s="539" t="s">
        <v>573</v>
      </c>
      <c r="B18" s="472"/>
      <c r="C18" s="472">
        <v>13995</v>
      </c>
      <c r="D18" s="540"/>
      <c r="E18" s="474">
        <v>3937</v>
      </c>
      <c r="F18" s="453"/>
      <c r="G18" s="453"/>
    </row>
    <row r="19" spans="1:5" ht="25.5">
      <c r="A19" s="542" t="s">
        <v>574</v>
      </c>
      <c r="B19" s="472"/>
      <c r="C19" s="472">
        <v>12160</v>
      </c>
      <c r="D19" s="540"/>
      <c r="E19" s="474">
        <v>3545</v>
      </c>
    </row>
    <row r="20" spans="1:5" ht="12">
      <c r="A20" s="541" t="s">
        <v>568</v>
      </c>
      <c r="B20" s="472"/>
      <c r="C20" s="472">
        <v>2578</v>
      </c>
      <c r="D20" s="540"/>
      <c r="E20" s="474">
        <v>669</v>
      </c>
    </row>
    <row r="21" spans="1:5" ht="12">
      <c r="A21" s="541" t="s">
        <v>569</v>
      </c>
      <c r="B21" s="472"/>
      <c r="C21" s="472">
        <v>440</v>
      </c>
      <c r="D21" s="540"/>
      <c r="E21" s="474">
        <v>179</v>
      </c>
    </row>
    <row r="22" spans="1:5" ht="12">
      <c r="A22" s="541" t="s">
        <v>570</v>
      </c>
      <c r="B22" s="472"/>
      <c r="C22" s="472">
        <v>2764</v>
      </c>
      <c r="D22" s="540"/>
      <c r="E22" s="474">
        <v>926</v>
      </c>
    </row>
    <row r="23" spans="1:5" ht="12">
      <c r="A23" s="541" t="s">
        <v>571</v>
      </c>
      <c r="B23" s="472"/>
      <c r="C23" s="472">
        <v>6378</v>
      </c>
      <c r="D23" s="540"/>
      <c r="E23" s="474">
        <v>1771</v>
      </c>
    </row>
    <row r="24" spans="1:5" ht="25.5">
      <c r="A24" s="543" t="s">
        <v>575</v>
      </c>
      <c r="B24" s="485"/>
      <c r="C24" s="485">
        <v>1835</v>
      </c>
      <c r="D24" s="544"/>
      <c r="E24" s="487">
        <v>392</v>
      </c>
    </row>
    <row r="25" spans="1:5" ht="12.75">
      <c r="A25" s="545"/>
      <c r="B25" s="521"/>
      <c r="C25" s="521"/>
      <c r="D25" s="546"/>
      <c r="E25" s="521"/>
    </row>
    <row r="26" ht="11.25">
      <c r="A26" s="461" t="s">
        <v>576</v>
      </c>
    </row>
    <row r="27" spans="1:5" s="547" customFormat="1" ht="11.25">
      <c r="A27" s="523"/>
      <c r="B27" s="453"/>
      <c r="C27" s="453"/>
      <c r="D27" s="453"/>
      <c r="E27" s="453"/>
    </row>
    <row r="28" spans="1:5" s="497" customFormat="1" ht="12">
      <c r="A28" s="523"/>
      <c r="B28" s="453"/>
      <c r="C28" s="453"/>
      <c r="D28" s="453"/>
      <c r="E28" s="453"/>
    </row>
    <row r="29" spans="1:5" s="497" customFormat="1" ht="12">
      <c r="A29" s="523"/>
      <c r="B29" s="547"/>
      <c r="C29" s="522"/>
      <c r="D29" s="547"/>
      <c r="E29" s="547"/>
    </row>
    <row r="30" spans="1:5" ht="12">
      <c r="A30" s="494"/>
      <c r="E30" s="548"/>
    </row>
    <row r="31" spans="1:5" ht="12">
      <c r="A31" s="494" t="s">
        <v>510</v>
      </c>
      <c r="B31" s="494"/>
      <c r="C31" s="495"/>
      <c r="D31" s="495"/>
      <c r="E31" s="548"/>
    </row>
    <row r="32" spans="1:5" ht="12">
      <c r="A32" s="494"/>
      <c r="B32" s="494"/>
      <c r="E32" s="548"/>
    </row>
    <row r="33" ht="11.25">
      <c r="A33" s="501"/>
    </row>
    <row r="34" ht="11.25">
      <c r="A34" s="501"/>
    </row>
    <row r="35" s="467" customFormat="1" ht="12" customHeight="1">
      <c r="A35" s="492"/>
    </row>
    <row r="36" s="467" customFormat="1" ht="12" customHeight="1">
      <c r="A36" s="492"/>
    </row>
    <row r="37" ht="12.75">
      <c r="A37" s="492"/>
    </row>
  </sheetData>
  <printOptions/>
  <pageMargins left="0.98" right="0.15748031496062992" top="1.46" bottom="0.984251968503937" header="0" footer="0"/>
  <pageSetup firstPageNumber="29" useFirstPageNumber="1" horizontalDpi="600" verticalDpi="600" orientation="portrait" paperSize="9" r:id="rId1"/>
  <headerFooter alignWithMargins="0">
    <oddFooter>&amp;L&amp;"Arial,Regular"&amp;8         Valsts kase / Pārskatu departaments
         15.05.00.
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IT59"/>
  <sheetViews>
    <sheetView showZeros="0" workbookViewId="0" topLeftCell="A1">
      <selection activeCell="B10" sqref="B10"/>
    </sheetView>
  </sheetViews>
  <sheetFormatPr defaultColWidth="9.140625" defaultRowHeight="12.75"/>
  <cols>
    <col min="1" max="1" width="39.7109375" style="453" customWidth="1"/>
    <col min="2" max="5" width="12.7109375" style="453" customWidth="1"/>
    <col min="6" max="16384" width="8.00390625" style="453" customWidth="1"/>
  </cols>
  <sheetData>
    <row r="1" spans="1:5" s="461" customFormat="1" ht="12.75">
      <c r="A1" s="452" t="s">
        <v>577</v>
      </c>
      <c r="B1" s="452"/>
      <c r="C1" s="452"/>
      <c r="D1" s="452"/>
      <c r="E1" s="452" t="s">
        <v>578</v>
      </c>
    </row>
    <row r="2" spans="1:5" s="461" customFormat="1" ht="12.75">
      <c r="A2" s="452"/>
      <c r="B2" s="452"/>
      <c r="C2" s="452"/>
      <c r="D2" s="452"/>
      <c r="E2" s="549"/>
    </row>
    <row r="3" spans="4:5" ht="11.25">
      <c r="D3" s="460"/>
      <c r="E3" s="460"/>
    </row>
    <row r="4" spans="1:5" s="458" customFormat="1" ht="15.75">
      <c r="A4" s="455" t="s">
        <v>579</v>
      </c>
      <c r="B4" s="460"/>
      <c r="C4" s="460"/>
      <c r="D4" s="460"/>
      <c r="E4" s="460"/>
    </row>
    <row r="5" spans="1:5" ht="15.75">
      <c r="A5" s="455" t="s">
        <v>516</v>
      </c>
      <c r="B5" s="460"/>
      <c r="C5" s="460"/>
      <c r="D5" s="460"/>
      <c r="E5" s="460"/>
    </row>
    <row r="6" spans="1:5" ht="11.25">
      <c r="A6" s="523"/>
      <c r="B6" s="460"/>
      <c r="C6" s="460"/>
      <c r="D6" s="460"/>
      <c r="E6" s="460"/>
    </row>
    <row r="7" spans="1:5" ht="11.25">
      <c r="A7" s="523"/>
      <c r="B7" s="460"/>
      <c r="C7" s="460"/>
      <c r="D7" s="460"/>
      <c r="E7" s="460"/>
    </row>
    <row r="8" spans="2:81" s="461" customFormat="1" ht="15">
      <c r="B8" s="503"/>
      <c r="C8" s="503"/>
      <c r="D8" s="550" t="s">
        <v>580</v>
      </c>
      <c r="E8" s="46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3"/>
      <c r="BS8" s="453"/>
      <c r="BT8" s="453"/>
      <c r="BU8" s="453"/>
      <c r="BV8" s="453"/>
      <c r="BW8" s="453"/>
      <c r="BX8" s="453"/>
      <c r="BY8" s="453"/>
      <c r="BZ8" s="453"/>
      <c r="CA8" s="453"/>
      <c r="CB8" s="453"/>
      <c r="CC8" s="453"/>
    </row>
    <row r="9" spans="1:254" s="467" customFormat="1" ht="33.75" customHeight="1">
      <c r="A9" s="507" t="s">
        <v>2</v>
      </c>
      <c r="B9" s="508" t="s">
        <v>475</v>
      </c>
      <c r="C9" s="508" t="s">
        <v>50</v>
      </c>
      <c r="D9" s="508" t="s">
        <v>476</v>
      </c>
      <c r="E9" s="509" t="s">
        <v>234</v>
      </c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453"/>
      <c r="BV9" s="453"/>
      <c r="BW9" s="453"/>
      <c r="BX9" s="453"/>
      <c r="BY9" s="453"/>
      <c r="BZ9" s="453"/>
      <c r="CA9" s="453"/>
      <c r="CB9" s="453"/>
      <c r="CC9" s="453"/>
      <c r="CD9" s="508"/>
      <c r="CE9" s="509"/>
      <c r="CF9" s="507"/>
      <c r="CG9" s="508"/>
      <c r="CH9" s="508"/>
      <c r="CI9" s="508"/>
      <c r="CJ9" s="509"/>
      <c r="CK9" s="507"/>
      <c r="CL9" s="508"/>
      <c r="CM9" s="508"/>
      <c r="CN9" s="508"/>
      <c r="CO9" s="509"/>
      <c r="CP9" s="507"/>
      <c r="CQ9" s="508"/>
      <c r="CR9" s="508"/>
      <c r="CS9" s="508"/>
      <c r="CT9" s="509"/>
      <c r="CU9" s="507"/>
      <c r="CV9" s="508"/>
      <c r="CW9" s="508"/>
      <c r="CX9" s="508"/>
      <c r="CY9" s="509"/>
      <c r="CZ9" s="507"/>
      <c r="DA9" s="508"/>
      <c r="DB9" s="508"/>
      <c r="DC9" s="508"/>
      <c r="DD9" s="509"/>
      <c r="DE9" s="507"/>
      <c r="DF9" s="508"/>
      <c r="DG9" s="508"/>
      <c r="DH9" s="508"/>
      <c r="DI9" s="509"/>
      <c r="DJ9" s="507"/>
      <c r="DK9" s="508"/>
      <c r="DL9" s="508"/>
      <c r="DM9" s="508"/>
      <c r="DN9" s="509"/>
      <c r="DO9" s="507"/>
      <c r="DP9" s="508"/>
      <c r="DQ9" s="508"/>
      <c r="DR9" s="508"/>
      <c r="DS9" s="509"/>
      <c r="DT9" s="507"/>
      <c r="DU9" s="508"/>
      <c r="DV9" s="508"/>
      <c r="DW9" s="508"/>
      <c r="DX9" s="509"/>
      <c r="DY9" s="507"/>
      <c r="DZ9" s="508"/>
      <c r="EA9" s="508"/>
      <c r="EB9" s="508"/>
      <c r="EC9" s="509"/>
      <c r="ED9" s="507"/>
      <c r="EE9" s="508"/>
      <c r="EF9" s="508"/>
      <c r="EG9" s="508"/>
      <c r="EH9" s="509"/>
      <c r="EI9" s="507"/>
      <c r="EJ9" s="508"/>
      <c r="EK9" s="508"/>
      <c r="EL9" s="508"/>
      <c r="EM9" s="509"/>
      <c r="EN9" s="507"/>
      <c r="EO9" s="508"/>
      <c r="EP9" s="508"/>
      <c r="EQ9" s="508"/>
      <c r="ER9" s="509"/>
      <c r="ES9" s="507"/>
      <c r="ET9" s="508"/>
      <c r="EU9" s="508"/>
      <c r="EV9" s="508"/>
      <c r="EW9" s="509"/>
      <c r="EX9" s="507"/>
      <c r="EY9" s="508"/>
      <c r="EZ9" s="508"/>
      <c r="FA9" s="508"/>
      <c r="FB9" s="509"/>
      <c r="FC9" s="507"/>
      <c r="FD9" s="508"/>
      <c r="FE9" s="508"/>
      <c r="FF9" s="508"/>
      <c r="FG9" s="509"/>
      <c r="FH9" s="507"/>
      <c r="FI9" s="508"/>
      <c r="FJ9" s="508"/>
      <c r="FK9" s="508"/>
      <c r="FL9" s="509"/>
      <c r="FM9" s="507"/>
      <c r="FN9" s="508"/>
      <c r="FO9" s="508"/>
      <c r="FP9" s="508"/>
      <c r="FQ9" s="509"/>
      <c r="FR9" s="507"/>
      <c r="FS9" s="508"/>
      <c r="FT9" s="508"/>
      <c r="FU9" s="508"/>
      <c r="FV9" s="509"/>
      <c r="FW9" s="507"/>
      <c r="FX9" s="508"/>
      <c r="FY9" s="508"/>
      <c r="FZ9" s="508"/>
      <c r="GA9" s="509"/>
      <c r="GB9" s="507"/>
      <c r="GC9" s="508"/>
      <c r="GD9" s="508"/>
      <c r="GE9" s="508"/>
      <c r="GF9" s="509"/>
      <c r="GG9" s="507"/>
      <c r="GH9" s="508"/>
      <c r="GI9" s="508"/>
      <c r="GJ9" s="508"/>
      <c r="GK9" s="509"/>
      <c r="GL9" s="507"/>
      <c r="GM9" s="508"/>
      <c r="GN9" s="508"/>
      <c r="GO9" s="508"/>
      <c r="GP9" s="509"/>
      <c r="GQ9" s="507"/>
      <c r="GR9" s="508"/>
      <c r="GS9" s="508"/>
      <c r="GT9" s="508"/>
      <c r="GU9" s="509"/>
      <c r="GV9" s="507"/>
      <c r="GW9" s="508"/>
      <c r="GX9" s="508"/>
      <c r="GY9" s="508"/>
      <c r="GZ9" s="509"/>
      <c r="HA9" s="507"/>
      <c r="HB9" s="508"/>
      <c r="HC9" s="508"/>
      <c r="HD9" s="508"/>
      <c r="HE9" s="509"/>
      <c r="HF9" s="507"/>
      <c r="HG9" s="508"/>
      <c r="HH9" s="508"/>
      <c r="HI9" s="508"/>
      <c r="HJ9" s="509"/>
      <c r="HK9" s="507"/>
      <c r="HL9" s="508"/>
      <c r="HM9" s="508"/>
      <c r="HN9" s="508"/>
      <c r="HO9" s="509"/>
      <c r="HP9" s="507"/>
      <c r="HQ9" s="508"/>
      <c r="HR9" s="508"/>
      <c r="HS9" s="508"/>
      <c r="HT9" s="509"/>
      <c r="HU9" s="507"/>
      <c r="HV9" s="508"/>
      <c r="HW9" s="508"/>
      <c r="HX9" s="508"/>
      <c r="HY9" s="509"/>
      <c r="HZ9" s="507"/>
      <c r="IA9" s="508"/>
      <c r="IB9" s="508"/>
      <c r="IC9" s="508"/>
      <c r="ID9" s="509"/>
      <c r="IE9" s="507"/>
      <c r="IF9" s="508"/>
      <c r="IG9" s="508"/>
      <c r="IH9" s="508"/>
      <c r="II9" s="509"/>
      <c r="IJ9" s="507"/>
      <c r="IK9" s="508"/>
      <c r="IL9" s="508"/>
      <c r="IM9" s="508"/>
      <c r="IN9" s="509"/>
      <c r="IO9" s="507"/>
      <c r="IP9" s="508"/>
      <c r="IQ9" s="508"/>
      <c r="IR9" s="508"/>
      <c r="IS9" s="509"/>
      <c r="IT9" s="507"/>
    </row>
    <row r="10" spans="1:5" ht="11.25">
      <c r="A10" s="535">
        <v>1</v>
      </c>
      <c r="B10" s="536">
        <v>2</v>
      </c>
      <c r="C10" s="536">
        <v>3</v>
      </c>
      <c r="D10" s="537">
        <v>4</v>
      </c>
      <c r="E10" s="538">
        <v>5</v>
      </c>
    </row>
    <row r="11" spans="1:5" s="467" customFormat="1" ht="12.75" customHeight="1">
      <c r="A11" s="475" t="s">
        <v>235</v>
      </c>
      <c r="B11" s="472"/>
      <c r="C11" s="472">
        <v>18478</v>
      </c>
      <c r="D11" s="540"/>
      <c r="E11" s="474">
        <v>5049</v>
      </c>
    </row>
    <row r="12" spans="1:5" s="467" customFormat="1" ht="12.75">
      <c r="A12" s="475" t="s">
        <v>542</v>
      </c>
      <c r="B12" s="472"/>
      <c r="C12" s="472">
        <f>C13+C32</f>
        <v>13176</v>
      </c>
      <c r="D12" s="540"/>
      <c r="E12" s="474">
        <f>E13+E32</f>
        <v>3638</v>
      </c>
    </row>
    <row r="13" spans="1:5" s="490" customFormat="1" ht="11.25" customHeight="1">
      <c r="A13" s="510" t="s">
        <v>243</v>
      </c>
      <c r="B13" s="472"/>
      <c r="C13" s="472">
        <v>10228</v>
      </c>
      <c r="D13" s="540"/>
      <c r="E13" s="474">
        <v>2561</v>
      </c>
    </row>
    <row r="14" spans="1:5" s="490" customFormat="1" ht="11.25" customHeight="1">
      <c r="A14" s="526" t="s">
        <v>244</v>
      </c>
      <c r="B14" s="472"/>
      <c r="C14" s="472">
        <v>7808</v>
      </c>
      <c r="D14" s="540"/>
      <c r="E14" s="474">
        <v>1928</v>
      </c>
    </row>
    <row r="15" spans="1:5" s="490" customFormat="1" ht="11.25" customHeight="1" hidden="1">
      <c r="A15" s="512" t="s">
        <v>581</v>
      </c>
      <c r="B15" s="472"/>
      <c r="C15" s="472">
        <v>817</v>
      </c>
      <c r="D15" s="540"/>
      <c r="E15" s="474">
        <v>246</v>
      </c>
    </row>
    <row r="16" spans="1:5" ht="12">
      <c r="A16" s="512" t="s">
        <v>543</v>
      </c>
      <c r="B16" s="472"/>
      <c r="C16" s="472">
        <v>817</v>
      </c>
      <c r="D16" s="540"/>
      <c r="E16" s="474">
        <v>246</v>
      </c>
    </row>
    <row r="17" spans="1:5" ht="12">
      <c r="A17" s="512" t="s">
        <v>544</v>
      </c>
      <c r="B17" s="472"/>
      <c r="C17" s="472">
        <v>206</v>
      </c>
      <c r="D17" s="540"/>
      <c r="E17" s="474">
        <v>59</v>
      </c>
    </row>
    <row r="18" spans="1:5" ht="12" hidden="1">
      <c r="A18" s="512" t="s">
        <v>545</v>
      </c>
      <c r="B18" s="472"/>
      <c r="C18" s="472">
        <v>6039</v>
      </c>
      <c r="D18" s="540"/>
      <c r="E18" s="474">
        <v>1420</v>
      </c>
    </row>
    <row r="19" spans="1:5" ht="12" hidden="1">
      <c r="A19" s="512" t="s">
        <v>546</v>
      </c>
      <c r="B19" s="472"/>
      <c r="C19" s="472">
        <v>669</v>
      </c>
      <c r="D19" s="540"/>
      <c r="E19" s="474">
        <v>192</v>
      </c>
    </row>
    <row r="20" spans="1:5" ht="12" hidden="1">
      <c r="A20" s="512" t="s">
        <v>547</v>
      </c>
      <c r="B20" s="472"/>
      <c r="C20" s="472">
        <v>9</v>
      </c>
      <c r="D20" s="540"/>
      <c r="E20" s="474">
        <v>4</v>
      </c>
    </row>
    <row r="21" spans="1:5" ht="12" hidden="1">
      <c r="A21" s="512" t="s">
        <v>548</v>
      </c>
      <c r="B21" s="472"/>
      <c r="C21" s="472">
        <v>15</v>
      </c>
      <c r="D21" s="540"/>
      <c r="E21" s="474">
        <v>6</v>
      </c>
    </row>
    <row r="22" spans="1:5" ht="12">
      <c r="A22" s="512" t="s">
        <v>549</v>
      </c>
      <c r="B22" s="472"/>
      <c r="C22" s="472">
        <v>6785</v>
      </c>
      <c r="D22" s="540"/>
      <c r="E22" s="474">
        <v>1623</v>
      </c>
    </row>
    <row r="23" spans="1:5" ht="12">
      <c r="A23" s="527" t="s">
        <v>550</v>
      </c>
      <c r="B23" s="472"/>
      <c r="C23" s="472">
        <v>6708</v>
      </c>
      <c r="D23" s="540"/>
      <c r="E23" s="474">
        <v>1610</v>
      </c>
    </row>
    <row r="24" spans="1:5" ht="12">
      <c r="A24" s="527" t="s">
        <v>582</v>
      </c>
      <c r="B24" s="472"/>
      <c r="C24" s="472">
        <v>77</v>
      </c>
      <c r="D24" s="540"/>
      <c r="E24" s="474">
        <v>13</v>
      </c>
    </row>
    <row r="25" spans="1:5" ht="12">
      <c r="A25" s="526" t="s">
        <v>552</v>
      </c>
      <c r="B25" s="472"/>
      <c r="C25" s="472">
        <v>14</v>
      </c>
      <c r="D25" s="540"/>
      <c r="E25" s="474">
        <v>6</v>
      </c>
    </row>
    <row r="26" spans="1:5" ht="12">
      <c r="A26" s="526" t="s">
        <v>253</v>
      </c>
      <c r="B26" s="472"/>
      <c r="C26" s="472">
        <v>2406</v>
      </c>
      <c r="D26" s="540"/>
      <c r="E26" s="474">
        <v>627</v>
      </c>
    </row>
    <row r="27" spans="1:5" ht="12">
      <c r="A27" s="512" t="s">
        <v>553</v>
      </c>
      <c r="B27" s="472"/>
      <c r="C27" s="472">
        <v>35</v>
      </c>
      <c r="D27" s="540"/>
      <c r="E27" s="474">
        <v>21</v>
      </c>
    </row>
    <row r="28" spans="1:5" ht="12">
      <c r="A28" s="512" t="s">
        <v>554</v>
      </c>
      <c r="B28" s="472"/>
      <c r="C28" s="472">
        <v>8</v>
      </c>
      <c r="D28" s="540"/>
      <c r="E28" s="474">
        <v>-32</v>
      </c>
    </row>
    <row r="29" spans="1:5" ht="12">
      <c r="A29" s="512" t="s">
        <v>555</v>
      </c>
      <c r="B29" s="472"/>
      <c r="C29" s="472">
        <v>96</v>
      </c>
      <c r="D29" s="540"/>
      <c r="E29" s="474">
        <v>28</v>
      </c>
    </row>
    <row r="30" spans="1:5" ht="12">
      <c r="A30" s="512" t="s">
        <v>556</v>
      </c>
      <c r="B30" s="472"/>
      <c r="C30" s="472">
        <v>1487</v>
      </c>
      <c r="D30" s="540"/>
      <c r="E30" s="474">
        <v>424</v>
      </c>
    </row>
    <row r="31" spans="1:5" ht="12">
      <c r="A31" s="512" t="s">
        <v>557</v>
      </c>
      <c r="B31" s="472"/>
      <c r="C31" s="472">
        <v>780</v>
      </c>
      <c r="D31" s="540"/>
      <c r="E31" s="474">
        <v>186</v>
      </c>
    </row>
    <row r="32" spans="1:7" s="490" customFormat="1" ht="11.25" customHeight="1">
      <c r="A32" s="510" t="s">
        <v>558</v>
      </c>
      <c r="B32" s="472"/>
      <c r="C32" s="472">
        <v>2948</v>
      </c>
      <c r="D32" s="540"/>
      <c r="E32" s="474">
        <v>1077</v>
      </c>
      <c r="G32" s="453"/>
    </row>
    <row r="33" spans="1:7" s="490" customFormat="1" ht="11.25" customHeight="1">
      <c r="A33" s="472" t="s">
        <v>274</v>
      </c>
      <c r="B33" s="472"/>
      <c r="C33" s="472">
        <v>2804</v>
      </c>
      <c r="D33" s="540"/>
      <c r="E33" s="474">
        <v>937</v>
      </c>
      <c r="F33" s="453"/>
      <c r="G33" s="453"/>
    </row>
    <row r="34" spans="1:5" ht="12" hidden="1">
      <c r="A34" s="551" t="s">
        <v>274</v>
      </c>
      <c r="B34" s="472"/>
      <c r="C34" s="472">
        <v>391</v>
      </c>
      <c r="D34" s="540"/>
      <c r="E34" s="474">
        <v>75</v>
      </c>
    </row>
    <row r="35" spans="1:5" ht="12" hidden="1">
      <c r="A35" s="512" t="s">
        <v>559</v>
      </c>
      <c r="B35" s="472"/>
      <c r="C35" s="472">
        <v>128125</v>
      </c>
      <c r="D35" s="540"/>
      <c r="E35" s="474">
        <v>33791</v>
      </c>
    </row>
    <row r="36" spans="1:5" ht="12">
      <c r="A36" s="472" t="s">
        <v>276</v>
      </c>
      <c r="B36" s="472"/>
      <c r="C36" s="472">
        <v>144</v>
      </c>
      <c r="D36" s="540"/>
      <c r="E36" s="474">
        <v>140</v>
      </c>
    </row>
    <row r="37" spans="1:7" s="490" customFormat="1" ht="11.25" customHeight="1">
      <c r="A37" s="510" t="s">
        <v>560</v>
      </c>
      <c r="B37" s="472"/>
      <c r="C37" s="472">
        <v>819</v>
      </c>
      <c r="D37" s="540"/>
      <c r="E37" s="474">
        <v>299</v>
      </c>
      <c r="G37" s="453"/>
    </row>
    <row r="38" spans="1:5" ht="12.75" customHeight="1">
      <c r="A38" s="512" t="s">
        <v>561</v>
      </c>
      <c r="B38" s="472"/>
      <c r="C38" s="472">
        <v>1289</v>
      </c>
      <c r="D38" s="540"/>
      <c r="E38" s="474">
        <v>327</v>
      </c>
    </row>
    <row r="39" spans="1:5" ht="12.75" customHeight="1">
      <c r="A39" s="514" t="s">
        <v>562</v>
      </c>
      <c r="B39" s="485"/>
      <c r="C39" s="485">
        <v>470</v>
      </c>
      <c r="D39" s="544"/>
      <c r="E39" s="487">
        <v>28</v>
      </c>
    </row>
    <row r="40" spans="1:5" ht="12.75" customHeight="1">
      <c r="A40" s="552" t="s">
        <v>390</v>
      </c>
      <c r="B40" s="531"/>
      <c r="C40" s="531">
        <f>C11-C12-C37</f>
        <v>4483</v>
      </c>
      <c r="D40" s="553"/>
      <c r="E40" s="533">
        <f>E11-E12-E37</f>
        <v>1112</v>
      </c>
    </row>
    <row r="41" spans="1:4" ht="12">
      <c r="A41" s="498"/>
      <c r="B41" s="521"/>
      <c r="C41" s="521"/>
      <c r="D41" s="554"/>
    </row>
    <row r="42" ht="11.25">
      <c r="A42" s="523"/>
    </row>
    <row r="43" spans="1:7" s="497" customFormat="1" ht="12">
      <c r="A43" s="523"/>
      <c r="B43" s="453"/>
      <c r="C43" s="453"/>
      <c r="D43" s="453"/>
      <c r="E43" s="453"/>
      <c r="F43" s="453"/>
      <c r="G43" s="453"/>
    </row>
    <row r="44" spans="1:7" s="497" customFormat="1" ht="12">
      <c r="A44" s="498"/>
      <c r="B44" s="453"/>
      <c r="C44" s="453"/>
      <c r="D44" s="453"/>
      <c r="E44" s="453"/>
      <c r="F44" s="453"/>
      <c r="G44" s="453"/>
    </row>
    <row r="45" spans="1:254" s="467" customFormat="1" ht="12.75">
      <c r="A45" s="494" t="s">
        <v>510</v>
      </c>
      <c r="B45" s="494"/>
      <c r="C45" s="495"/>
      <c r="D45" s="555"/>
      <c r="E45" s="548"/>
      <c r="F45" s="453"/>
      <c r="G45" s="453"/>
      <c r="H45" s="522"/>
      <c r="I45" s="556"/>
      <c r="J45" s="556"/>
      <c r="K45" s="557"/>
      <c r="L45" s="453"/>
      <c r="M45" s="494"/>
      <c r="N45" s="494"/>
      <c r="O45" s="497"/>
      <c r="P45" s="497"/>
      <c r="Q45" s="497"/>
      <c r="R45" s="497"/>
      <c r="S45" s="453"/>
      <c r="T45" s="494"/>
      <c r="U45" s="494"/>
      <c r="V45" s="522"/>
      <c r="W45" s="558"/>
      <c r="X45" s="558"/>
      <c r="Y45" s="557"/>
      <c r="Z45" s="453"/>
      <c r="AA45" s="494"/>
      <c r="AB45" s="494"/>
      <c r="AC45" s="522"/>
      <c r="AD45" s="558"/>
      <c r="AE45" s="558"/>
      <c r="AF45" s="557"/>
      <c r="AG45" s="453"/>
      <c r="AH45" s="494"/>
      <c r="AI45" s="494"/>
      <c r="AJ45" s="522"/>
      <c r="AK45" s="558"/>
      <c r="AL45" s="558"/>
      <c r="AM45" s="557"/>
      <c r="AN45" s="453"/>
      <c r="AO45" s="494"/>
      <c r="AP45" s="494"/>
      <c r="AQ45" s="522"/>
      <c r="AR45" s="558"/>
      <c r="AS45" s="558"/>
      <c r="AT45" s="557"/>
      <c r="AU45" s="453"/>
      <c r="AV45" s="494"/>
      <c r="AW45" s="494"/>
      <c r="AX45" s="522"/>
      <c r="AY45" s="558"/>
      <c r="AZ45" s="558"/>
      <c r="BA45" s="557"/>
      <c r="BB45" s="453"/>
      <c r="BC45" s="494"/>
      <c r="BD45" s="494"/>
      <c r="BE45" s="522"/>
      <c r="BF45" s="558"/>
      <c r="BG45" s="558"/>
      <c r="BH45" s="557"/>
      <c r="BI45" s="453"/>
      <c r="BJ45" s="494"/>
      <c r="BK45" s="494"/>
      <c r="BL45" s="522"/>
      <c r="BM45" s="558"/>
      <c r="BN45" s="558"/>
      <c r="BO45" s="557"/>
      <c r="BP45" s="453"/>
      <c r="BQ45" s="494"/>
      <c r="BR45" s="494"/>
      <c r="BS45" s="522"/>
      <c r="BT45" s="558"/>
      <c r="BU45" s="558"/>
      <c r="BV45" s="557"/>
      <c r="BW45" s="453"/>
      <c r="BX45" s="494"/>
      <c r="BY45" s="494"/>
      <c r="BZ45" s="522"/>
      <c r="CA45" s="558"/>
      <c r="CB45" s="558"/>
      <c r="CC45" s="557"/>
      <c r="CD45" s="453"/>
      <c r="CE45" s="494"/>
      <c r="CF45" s="494"/>
      <c r="CG45" s="522"/>
      <c r="CH45" s="558"/>
      <c r="CI45" s="558"/>
      <c r="CJ45" s="557"/>
      <c r="CK45" s="453"/>
      <c r="CL45" s="494"/>
      <c r="CM45" s="494"/>
      <c r="CN45" s="522"/>
      <c r="CO45" s="558"/>
      <c r="CP45" s="558"/>
      <c r="CQ45" s="557"/>
      <c r="CR45" s="453"/>
      <c r="CS45" s="494"/>
      <c r="CT45" s="494"/>
      <c r="CU45" s="522"/>
      <c r="CV45" s="558"/>
      <c r="CW45" s="558"/>
      <c r="CX45" s="557"/>
      <c r="CY45" s="453"/>
      <c r="CZ45" s="494"/>
      <c r="DA45" s="494"/>
      <c r="DB45" s="522"/>
      <c r="DC45" s="558"/>
      <c r="DD45" s="558"/>
      <c r="DE45" s="557"/>
      <c r="DF45" s="453"/>
      <c r="DG45" s="494"/>
      <c r="DH45" s="494"/>
      <c r="DI45" s="522"/>
      <c r="DJ45" s="558"/>
      <c r="DK45" s="558"/>
      <c r="DL45" s="557"/>
      <c r="DM45" s="453"/>
      <c r="DN45" s="494"/>
      <c r="DO45" s="494"/>
      <c r="DP45" s="522"/>
      <c r="DQ45" s="558"/>
      <c r="DR45" s="558"/>
      <c r="DS45" s="557"/>
      <c r="DT45" s="453"/>
      <c r="DU45" s="494"/>
      <c r="DV45" s="494"/>
      <c r="DW45" s="522"/>
      <c r="DX45" s="558"/>
      <c r="DY45" s="558"/>
      <c r="DZ45" s="557"/>
      <c r="EA45" s="453"/>
      <c r="EB45" s="494"/>
      <c r="EC45" s="494"/>
      <c r="ED45" s="522"/>
      <c r="EE45" s="558"/>
      <c r="EF45" s="558"/>
      <c r="EG45" s="557"/>
      <c r="EH45" s="453"/>
      <c r="EI45" s="494"/>
      <c r="EJ45" s="494"/>
      <c r="EK45" s="522"/>
      <c r="EL45" s="558"/>
      <c r="EM45" s="558"/>
      <c r="EN45" s="557"/>
      <c r="EO45" s="453"/>
      <c r="EP45" s="494"/>
      <c r="EQ45" s="494"/>
      <c r="ER45" s="522"/>
      <c r="ES45" s="558"/>
      <c r="ET45" s="558"/>
      <c r="EU45" s="557"/>
      <c r="EV45" s="453"/>
      <c r="EW45" s="494"/>
      <c r="EX45" s="494"/>
      <c r="EY45" s="522"/>
      <c r="EZ45" s="558"/>
      <c r="FA45" s="558"/>
      <c r="FB45" s="557"/>
      <c r="FC45" s="453"/>
      <c r="FD45" s="494"/>
      <c r="FE45" s="494"/>
      <c r="FF45" s="522"/>
      <c r="FG45" s="558"/>
      <c r="FH45" s="558"/>
      <c r="FI45" s="557"/>
      <c r="FJ45" s="453"/>
      <c r="FK45" s="494"/>
      <c r="FL45" s="494"/>
      <c r="FM45" s="522"/>
      <c r="FN45" s="558"/>
      <c r="FO45" s="558"/>
      <c r="FP45" s="557"/>
      <c r="FQ45" s="453"/>
      <c r="FR45" s="494"/>
      <c r="FS45" s="494"/>
      <c r="FT45" s="522"/>
      <c r="FU45" s="558"/>
      <c r="FV45" s="558"/>
      <c r="FW45" s="557"/>
      <c r="FX45" s="453"/>
      <c r="FY45" s="494"/>
      <c r="FZ45" s="494"/>
      <c r="GA45" s="522"/>
      <c r="GB45" s="558"/>
      <c r="GC45" s="558"/>
      <c r="GD45" s="557"/>
      <c r="GE45" s="453"/>
      <c r="GF45" s="494"/>
      <c r="GG45" s="494"/>
      <c r="GH45" s="522"/>
      <c r="GI45" s="558"/>
      <c r="GJ45" s="558"/>
      <c r="GK45" s="557"/>
      <c r="GL45" s="453"/>
      <c r="GM45" s="494"/>
      <c r="GN45" s="494"/>
      <c r="GO45" s="522"/>
      <c r="GP45" s="558"/>
      <c r="GQ45" s="558"/>
      <c r="GR45" s="557"/>
      <c r="GS45" s="453"/>
      <c r="GT45" s="494"/>
      <c r="GU45" s="494"/>
      <c r="GV45" s="522"/>
      <c r="GW45" s="558"/>
      <c r="GX45" s="558"/>
      <c r="GY45" s="557"/>
      <c r="GZ45" s="453"/>
      <c r="HA45" s="494"/>
      <c r="HB45" s="494"/>
      <c r="HC45" s="522"/>
      <c r="HD45" s="558"/>
      <c r="HE45" s="558"/>
      <c r="HF45" s="557"/>
      <c r="HG45" s="453"/>
      <c r="HH45" s="494"/>
      <c r="HI45" s="494"/>
      <c r="HJ45" s="522"/>
      <c r="HK45" s="558"/>
      <c r="HL45" s="558"/>
      <c r="HM45" s="557"/>
      <c r="HN45" s="453"/>
      <c r="HO45" s="494"/>
      <c r="HP45" s="494"/>
      <c r="HQ45" s="522"/>
      <c r="HR45" s="558"/>
      <c r="HS45" s="558"/>
      <c r="HT45" s="557"/>
      <c r="HU45" s="453"/>
      <c r="HV45" s="494"/>
      <c r="HW45" s="494"/>
      <c r="HX45" s="522"/>
      <c r="HY45" s="558"/>
      <c r="HZ45" s="558"/>
      <c r="IA45" s="557"/>
      <c r="IB45" s="453"/>
      <c r="IC45" s="494"/>
      <c r="ID45" s="494"/>
      <c r="IE45" s="522"/>
      <c r="IF45" s="558"/>
      <c r="IG45" s="558"/>
      <c r="IH45" s="557"/>
      <c r="II45" s="453"/>
      <c r="IJ45" s="494"/>
      <c r="IK45" s="494"/>
      <c r="IL45" s="522"/>
      <c r="IM45" s="558"/>
      <c r="IN45" s="558"/>
      <c r="IO45" s="557"/>
      <c r="IP45" s="453"/>
      <c r="IQ45" s="494"/>
      <c r="IR45" s="494"/>
      <c r="IS45" s="522"/>
      <c r="IT45" s="558"/>
    </row>
    <row r="46" spans="2:253" s="494" customFormat="1" ht="16.5" customHeight="1">
      <c r="B46" s="489"/>
      <c r="C46" s="489"/>
      <c r="D46" s="453"/>
      <c r="E46" s="453"/>
      <c r="F46" s="453"/>
      <c r="G46" s="453"/>
      <c r="H46" s="522"/>
      <c r="I46" s="497"/>
      <c r="J46" s="522"/>
      <c r="K46" s="522"/>
      <c r="M46" s="497"/>
      <c r="O46" s="522"/>
      <c r="P46" s="497"/>
      <c r="Q46" s="522"/>
      <c r="R46" s="522"/>
      <c r="T46" s="497"/>
      <c r="V46" s="522"/>
      <c r="W46" s="497"/>
      <c r="X46" s="522"/>
      <c r="Y46" s="522"/>
      <c r="AA46" s="497"/>
      <c r="AC46" s="522"/>
      <c r="AD46" s="497"/>
      <c r="AE46" s="522"/>
      <c r="AF46" s="522"/>
      <c r="AH46" s="497"/>
      <c r="AJ46" s="522"/>
      <c r="AK46" s="497"/>
      <c r="AL46" s="522"/>
      <c r="AM46" s="522"/>
      <c r="AO46" s="497"/>
      <c r="AQ46" s="522"/>
      <c r="AR46" s="497"/>
      <c r="AS46" s="522"/>
      <c r="AT46" s="522"/>
      <c r="AV46" s="497"/>
      <c r="AX46" s="522"/>
      <c r="AY46" s="497"/>
      <c r="AZ46" s="522"/>
      <c r="BA46" s="522"/>
      <c r="BC46" s="497"/>
      <c r="BE46" s="522"/>
      <c r="BF46" s="497"/>
      <c r="BG46" s="522"/>
      <c r="BH46" s="522"/>
      <c r="BJ46" s="497"/>
      <c r="BL46" s="522"/>
      <c r="BM46" s="497"/>
      <c r="BN46" s="522"/>
      <c r="BO46" s="522"/>
      <c r="BQ46" s="497"/>
      <c r="BS46" s="522"/>
      <c r="BT46" s="497"/>
      <c r="BU46" s="522"/>
      <c r="BV46" s="522"/>
      <c r="BX46" s="497"/>
      <c r="BZ46" s="522"/>
      <c r="CA46" s="497"/>
      <c r="CB46" s="522"/>
      <c r="CC46" s="522"/>
      <c r="CE46" s="497"/>
      <c r="CG46" s="522"/>
      <c r="CH46" s="497"/>
      <c r="CI46" s="522"/>
      <c r="CJ46" s="522"/>
      <c r="CL46" s="497"/>
      <c r="CN46" s="522"/>
      <c r="CO46" s="497"/>
      <c r="CP46" s="522"/>
      <c r="CQ46" s="522"/>
      <c r="CS46" s="497"/>
      <c r="CU46" s="522"/>
      <c r="CV46" s="497"/>
      <c r="CW46" s="522"/>
      <c r="CX46" s="522"/>
      <c r="CZ46" s="497"/>
      <c r="DB46" s="522"/>
      <c r="DC46" s="497"/>
      <c r="DD46" s="522"/>
      <c r="DE46" s="522"/>
      <c r="DG46" s="497"/>
      <c r="DI46" s="522"/>
      <c r="DJ46" s="497"/>
      <c r="DK46" s="522"/>
      <c r="DL46" s="522"/>
      <c r="DN46" s="497"/>
      <c r="DP46" s="522"/>
      <c r="DQ46" s="497"/>
      <c r="DR46" s="522"/>
      <c r="DS46" s="522"/>
      <c r="DU46" s="497"/>
      <c r="DW46" s="522"/>
      <c r="DX46" s="497"/>
      <c r="DY46" s="522"/>
      <c r="DZ46" s="522"/>
      <c r="EB46" s="497"/>
      <c r="ED46" s="522"/>
      <c r="EE46" s="497"/>
      <c r="EF46" s="522"/>
      <c r="EG46" s="522"/>
      <c r="EI46" s="497"/>
      <c r="EK46" s="522"/>
      <c r="EL46" s="497"/>
      <c r="EM46" s="522"/>
      <c r="EN46" s="522"/>
      <c r="EP46" s="497"/>
      <c r="ER46" s="522"/>
      <c r="ES46" s="497"/>
      <c r="ET46" s="522"/>
      <c r="EU46" s="522"/>
      <c r="EW46" s="497"/>
      <c r="EY46" s="522"/>
      <c r="EZ46" s="497"/>
      <c r="FA46" s="522"/>
      <c r="FB46" s="522"/>
      <c r="FD46" s="497"/>
      <c r="FF46" s="522"/>
      <c r="FG46" s="497"/>
      <c r="FH46" s="522"/>
      <c r="FI46" s="522"/>
      <c r="FK46" s="497"/>
      <c r="FM46" s="522"/>
      <c r="FN46" s="497"/>
      <c r="FO46" s="522"/>
      <c r="FP46" s="522"/>
      <c r="FR46" s="497"/>
      <c r="FT46" s="522"/>
      <c r="FU46" s="497"/>
      <c r="FV46" s="522"/>
      <c r="FW46" s="522"/>
      <c r="FY46" s="497"/>
      <c r="GA46" s="522"/>
      <c r="GB46" s="497"/>
      <c r="GC46" s="522"/>
      <c r="GD46" s="522"/>
      <c r="GF46" s="497"/>
      <c r="GH46" s="522"/>
      <c r="GI46" s="497"/>
      <c r="GJ46" s="522"/>
      <c r="GK46" s="522"/>
      <c r="GM46" s="497"/>
      <c r="GO46" s="522"/>
      <c r="GP46" s="497"/>
      <c r="GQ46" s="522"/>
      <c r="GR46" s="522"/>
      <c r="GT46" s="497"/>
      <c r="GV46" s="522"/>
      <c r="GW46" s="497"/>
      <c r="GX46" s="522"/>
      <c r="GY46" s="522"/>
      <c r="HA46" s="497"/>
      <c r="HC46" s="522"/>
      <c r="HD46" s="497"/>
      <c r="HE46" s="522"/>
      <c r="HF46" s="522"/>
      <c r="HH46" s="497"/>
      <c r="HJ46" s="522"/>
      <c r="HK46" s="497"/>
      <c r="HL46" s="522"/>
      <c r="HM46" s="522"/>
      <c r="HO46" s="497"/>
      <c r="HQ46" s="522"/>
      <c r="HR46" s="497"/>
      <c r="HS46" s="522"/>
      <c r="HT46" s="522"/>
      <c r="HV46" s="497"/>
      <c r="HX46" s="522"/>
      <c r="HY46" s="497"/>
      <c r="HZ46" s="522"/>
      <c r="IA46" s="522"/>
      <c r="IC46" s="497"/>
      <c r="IE46" s="522"/>
      <c r="IF46" s="497"/>
      <c r="IG46" s="522"/>
      <c r="IH46" s="522"/>
      <c r="IJ46" s="497"/>
      <c r="IL46" s="522"/>
      <c r="IM46" s="497"/>
      <c r="IN46" s="522"/>
      <c r="IO46" s="522"/>
      <c r="IQ46" s="497"/>
      <c r="IS46" s="522"/>
    </row>
    <row r="47" spans="1:7" s="497" customFormat="1" ht="12.75">
      <c r="A47" s="523"/>
      <c r="B47" s="559"/>
      <c r="C47" s="559"/>
      <c r="D47" s="453"/>
      <c r="E47" s="453"/>
      <c r="F47" s="453"/>
      <c r="G47" s="453"/>
    </row>
    <row r="48" spans="1:7" s="467" customFormat="1" ht="12.75">
      <c r="A48" s="560"/>
      <c r="D48" s="453"/>
      <c r="E48" s="453"/>
      <c r="F48" s="453"/>
      <c r="G48" s="453"/>
    </row>
    <row r="49" spans="1:7" s="467" customFormat="1" ht="12.75">
      <c r="A49" s="492"/>
      <c r="B49" s="492"/>
      <c r="C49" s="492"/>
      <c r="D49" s="453"/>
      <c r="E49" s="453"/>
      <c r="F49" s="453"/>
      <c r="G49" s="453"/>
    </row>
    <row r="57" spans="4:7" ht="11.25">
      <c r="D57" s="453">
        <v>0</v>
      </c>
      <c r="E57" s="453">
        <v>0</v>
      </c>
      <c r="F57" s="453">
        <v>0</v>
      </c>
      <c r="G57" s="453">
        <v>0</v>
      </c>
    </row>
    <row r="58" spans="4:7" ht="11.25">
      <c r="D58" s="453">
        <v>0</v>
      </c>
      <c r="E58" s="453">
        <v>0</v>
      </c>
      <c r="F58" s="453">
        <v>0</v>
      </c>
      <c r="G58" s="453">
        <v>0</v>
      </c>
    </row>
    <row r="59" spans="4:7" ht="11.25">
      <c r="D59" s="453">
        <v>0</v>
      </c>
      <c r="E59" s="453">
        <v>0</v>
      </c>
      <c r="F59" s="453">
        <v>0</v>
      </c>
      <c r="G59" s="453">
        <v>0</v>
      </c>
    </row>
  </sheetData>
  <printOptions/>
  <pageMargins left="0.7480314960629921" right="0.15748031496062992" top="1.46" bottom="0.984251968503937" header="0" footer="0"/>
  <pageSetup firstPageNumber="30" useFirstPageNumber="1" horizontalDpi="600" verticalDpi="600" orientation="portrait" paperSize="9" r:id="rId1"/>
  <headerFooter alignWithMargins="0">
    <oddFooter>&amp;L&amp;"Arial,Regular"&amp;8Valsts kase / Pārskatu departaments
15.05.00.&amp;R&amp;P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/>
  <dimension ref="A1:P68"/>
  <sheetViews>
    <sheetView showGridLines="0" showZeros="0" workbookViewId="0" topLeftCell="A32">
      <selection activeCell="B10" sqref="B10"/>
    </sheetView>
  </sheetViews>
  <sheetFormatPr defaultColWidth="9.140625" defaultRowHeight="12.75"/>
  <cols>
    <col min="1" max="1" width="17.7109375" style="562" customWidth="1"/>
    <col min="2" max="2" width="8.8515625" style="453" customWidth="1"/>
    <col min="3" max="3" width="8.421875" style="453" customWidth="1"/>
    <col min="4" max="4" width="8.8515625" style="453" customWidth="1"/>
    <col min="5" max="5" width="8.57421875" style="453" customWidth="1"/>
    <col min="6" max="6" width="6.8515625" style="453" customWidth="1"/>
    <col min="7" max="7" width="8.421875" style="453" customWidth="1"/>
    <col min="8" max="8" width="11.28125" style="453" customWidth="1"/>
    <col min="9" max="9" width="10.140625" style="453" customWidth="1"/>
    <col min="10" max="10" width="8.57421875" style="453" customWidth="1"/>
    <col min="11" max="11" width="8.00390625" style="453" customWidth="1"/>
    <col min="12" max="13" width="7.57421875" style="453" customWidth="1"/>
    <col min="14" max="14" width="7.140625" style="453" customWidth="1"/>
    <col min="15" max="16" width="9.28125" style="453" customWidth="1"/>
    <col min="17" max="16384" width="8.00390625" style="453" customWidth="1"/>
  </cols>
  <sheetData>
    <row r="1" spans="1:16" ht="12.75">
      <c r="A1" s="561"/>
      <c r="B1" s="467"/>
      <c r="C1" s="467"/>
      <c r="D1" s="467"/>
      <c r="E1" s="467"/>
      <c r="F1" s="467" t="s">
        <v>583</v>
      </c>
      <c r="G1" s="467"/>
      <c r="H1" s="467"/>
      <c r="I1" s="467"/>
      <c r="J1" s="467"/>
      <c r="K1" s="467"/>
      <c r="L1" s="467"/>
      <c r="M1" s="467"/>
      <c r="N1" s="452"/>
      <c r="O1" s="452"/>
      <c r="P1" s="452" t="s">
        <v>584</v>
      </c>
    </row>
    <row r="2" spans="14:15" ht="12">
      <c r="N2" s="563"/>
      <c r="O2" s="460"/>
    </row>
    <row r="3" spans="1:16" s="467" customFormat="1" ht="12.75">
      <c r="A3" s="561"/>
      <c r="N3" s="452"/>
      <c r="O3" s="452"/>
      <c r="P3" s="452"/>
    </row>
    <row r="4" spans="1:16" s="458" customFormat="1" ht="15.75">
      <c r="A4" s="564" t="s">
        <v>585</v>
      </c>
      <c r="B4" s="564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</row>
    <row r="5" spans="1:16" s="567" customFormat="1" ht="15.75">
      <c r="A5" s="565" t="s">
        <v>516</v>
      </c>
      <c r="B5" s="565"/>
      <c r="C5" s="565"/>
      <c r="D5" s="565"/>
      <c r="E5" s="566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</row>
    <row r="6" spans="1:16" s="567" customFormat="1" ht="15.75">
      <c r="A6" s="565"/>
      <c r="B6" s="565"/>
      <c r="C6" s="565"/>
      <c r="D6" s="565"/>
      <c r="E6" s="566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</row>
    <row r="7" spans="1:16" s="461" customFormat="1" ht="11.25">
      <c r="A7" s="568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 t="s">
        <v>586</v>
      </c>
      <c r="N7" s="503"/>
      <c r="O7" s="463"/>
      <c r="P7" s="503"/>
    </row>
    <row r="8" spans="1:16" s="467" customFormat="1" ht="12.75">
      <c r="A8" s="569"/>
      <c r="B8" s="570" t="s">
        <v>310</v>
      </c>
      <c r="C8" s="570"/>
      <c r="D8" s="570"/>
      <c r="E8" s="571" t="s">
        <v>587</v>
      </c>
      <c r="F8" s="570"/>
      <c r="G8" s="570"/>
      <c r="H8" s="572"/>
      <c r="I8" s="572"/>
      <c r="J8" s="573" t="s">
        <v>588</v>
      </c>
      <c r="K8" s="570"/>
      <c r="L8" s="570"/>
      <c r="M8" s="574"/>
      <c r="N8" s="570"/>
      <c r="O8" s="575"/>
      <c r="P8" s="576"/>
    </row>
    <row r="9" spans="1:16" ht="11.25">
      <c r="A9" s="577"/>
      <c r="B9" s="506"/>
      <c r="C9" s="578"/>
      <c r="D9" s="578"/>
      <c r="E9" s="578"/>
      <c r="F9" s="578"/>
      <c r="G9" s="578"/>
      <c r="H9" s="578"/>
      <c r="I9" s="578"/>
      <c r="J9" s="578"/>
      <c r="K9" s="578"/>
      <c r="L9" s="579" t="s">
        <v>589</v>
      </c>
      <c r="M9" s="579"/>
      <c r="N9" s="506"/>
      <c r="O9" s="578"/>
      <c r="P9" s="580"/>
    </row>
    <row r="10" spans="1:16" s="587" customFormat="1" ht="45">
      <c r="A10" s="581" t="s">
        <v>590</v>
      </c>
      <c r="B10" s="582" t="s">
        <v>591</v>
      </c>
      <c r="C10" s="583" t="s">
        <v>592</v>
      </c>
      <c r="D10" s="584" t="s">
        <v>593</v>
      </c>
      <c r="E10" s="584" t="s">
        <v>594</v>
      </c>
      <c r="F10" s="584" t="s">
        <v>595</v>
      </c>
      <c r="G10" s="584" t="s">
        <v>596</v>
      </c>
      <c r="H10" s="584" t="s">
        <v>597</v>
      </c>
      <c r="I10" s="584" t="s">
        <v>598</v>
      </c>
      <c r="J10" s="584" t="s">
        <v>27</v>
      </c>
      <c r="K10" s="584" t="s">
        <v>599</v>
      </c>
      <c r="L10" s="584" t="s">
        <v>600</v>
      </c>
      <c r="M10" s="584" t="s">
        <v>601</v>
      </c>
      <c r="N10" s="584" t="s">
        <v>602</v>
      </c>
      <c r="O10" s="585" t="s">
        <v>38</v>
      </c>
      <c r="P10" s="586" t="s">
        <v>603</v>
      </c>
    </row>
    <row r="11" spans="1:16" s="461" customFormat="1" ht="11.25">
      <c r="A11" s="588">
        <v>1</v>
      </c>
      <c r="B11" s="589">
        <v>2</v>
      </c>
      <c r="C11" s="589">
        <v>3</v>
      </c>
      <c r="D11" s="589">
        <v>4</v>
      </c>
      <c r="E11" s="589">
        <v>5</v>
      </c>
      <c r="F11" s="589">
        <v>6</v>
      </c>
      <c r="G11" s="589">
        <v>7</v>
      </c>
      <c r="H11" s="589">
        <v>8</v>
      </c>
      <c r="I11" s="589">
        <v>9</v>
      </c>
      <c r="J11" s="589">
        <v>10</v>
      </c>
      <c r="K11" s="589">
        <v>11</v>
      </c>
      <c r="L11" s="589">
        <v>12</v>
      </c>
      <c r="M11" s="589">
        <v>13</v>
      </c>
      <c r="N11" s="589">
        <v>14</v>
      </c>
      <c r="O11" s="589">
        <v>15</v>
      </c>
      <c r="P11" s="590">
        <v>16</v>
      </c>
    </row>
    <row r="12" spans="1:16" ht="12.75">
      <c r="A12" s="591" t="s">
        <v>604</v>
      </c>
      <c r="B12" s="592"/>
      <c r="C12" s="592"/>
      <c r="D12" s="592"/>
      <c r="E12" s="592"/>
      <c r="F12" s="592"/>
      <c r="G12" s="592"/>
      <c r="H12" s="592"/>
      <c r="I12" s="592"/>
      <c r="J12" s="592"/>
      <c r="K12" s="593"/>
      <c r="L12" s="593"/>
      <c r="M12" s="593"/>
      <c r="N12" s="593"/>
      <c r="O12" s="593"/>
      <c r="P12" s="594"/>
    </row>
    <row r="13" spans="1:16" ht="12">
      <c r="A13" s="595" t="s">
        <v>605</v>
      </c>
      <c r="B13" s="592">
        <v>38244638</v>
      </c>
      <c r="C13" s="592">
        <v>7549230</v>
      </c>
      <c r="D13" s="592">
        <v>45793868</v>
      </c>
      <c r="E13" s="592">
        <v>37530160</v>
      </c>
      <c r="F13" s="592">
        <v>5941510</v>
      </c>
      <c r="G13" s="592">
        <v>43471670</v>
      </c>
      <c r="H13" s="592">
        <v>2322198</v>
      </c>
      <c r="I13" s="592">
        <v>-2322198</v>
      </c>
      <c r="J13" s="592">
        <v>-5000000</v>
      </c>
      <c r="K13" s="592">
        <v>955095</v>
      </c>
      <c r="L13" s="592">
        <v>5748463</v>
      </c>
      <c r="M13" s="592">
        <v>4793368</v>
      </c>
      <c r="N13" s="592">
        <v>-4300000</v>
      </c>
      <c r="O13" s="592">
        <v>5979343</v>
      </c>
      <c r="P13" s="596">
        <v>43364</v>
      </c>
    </row>
    <row r="14" spans="1:16" ht="12">
      <c r="A14" s="595" t="s">
        <v>606</v>
      </c>
      <c r="B14" s="592">
        <v>3286941</v>
      </c>
      <c r="C14" s="592">
        <v>1264091</v>
      </c>
      <c r="D14" s="592">
        <v>4551032</v>
      </c>
      <c r="E14" s="592">
        <v>4970540</v>
      </c>
      <c r="F14" s="592">
        <v>122</v>
      </c>
      <c r="G14" s="592">
        <v>4970662</v>
      </c>
      <c r="H14" s="592">
        <v>-419630</v>
      </c>
      <c r="I14" s="592">
        <v>419630</v>
      </c>
      <c r="J14" s="592">
        <v>400000</v>
      </c>
      <c r="K14" s="592">
        <v>-123720</v>
      </c>
      <c r="L14" s="592">
        <v>70515</v>
      </c>
      <c r="M14" s="592">
        <v>194235</v>
      </c>
      <c r="N14" s="592">
        <v>0</v>
      </c>
      <c r="O14" s="592">
        <v>143350</v>
      </c>
      <c r="P14" s="596">
        <v>0</v>
      </c>
    </row>
    <row r="15" spans="1:16" ht="12">
      <c r="A15" s="595" t="s">
        <v>607</v>
      </c>
      <c r="B15" s="592">
        <v>2105386</v>
      </c>
      <c r="C15" s="592">
        <v>990546</v>
      </c>
      <c r="D15" s="592">
        <v>3095932</v>
      </c>
      <c r="E15" s="592">
        <v>2626711</v>
      </c>
      <c r="F15" s="592">
        <v>25094</v>
      </c>
      <c r="G15" s="592">
        <v>2651805</v>
      </c>
      <c r="H15" s="592">
        <v>444127</v>
      </c>
      <c r="I15" s="592">
        <v>-444127</v>
      </c>
      <c r="J15" s="592">
        <v>-270000</v>
      </c>
      <c r="K15" s="592">
        <v>-231768</v>
      </c>
      <c r="L15" s="592">
        <v>44232</v>
      </c>
      <c r="M15" s="592">
        <v>276000</v>
      </c>
      <c r="N15" s="592">
        <v>0</v>
      </c>
      <c r="O15" s="592">
        <v>47450</v>
      </c>
      <c r="P15" s="596">
        <v>10191</v>
      </c>
    </row>
    <row r="16" spans="1:16" ht="12">
      <c r="A16" s="595" t="s">
        <v>608</v>
      </c>
      <c r="B16" s="592">
        <v>2244698</v>
      </c>
      <c r="C16" s="592">
        <v>540952</v>
      </c>
      <c r="D16" s="592">
        <v>2785650</v>
      </c>
      <c r="E16" s="592">
        <v>2580134</v>
      </c>
      <c r="F16" s="592">
        <v>106621</v>
      </c>
      <c r="G16" s="592">
        <v>2686755</v>
      </c>
      <c r="H16" s="592">
        <v>98895</v>
      </c>
      <c r="I16" s="592">
        <v>-98895</v>
      </c>
      <c r="J16" s="592">
        <v>0</v>
      </c>
      <c r="K16" s="592">
        <v>-98895</v>
      </c>
      <c r="L16" s="592">
        <v>51094</v>
      </c>
      <c r="M16" s="592">
        <v>149989</v>
      </c>
      <c r="N16" s="592">
        <v>0</v>
      </c>
      <c r="O16" s="592">
        <v>0</v>
      </c>
      <c r="P16" s="596">
        <v>0</v>
      </c>
    </row>
    <row r="17" spans="1:16" ht="12">
      <c r="A17" s="595" t="s">
        <v>609</v>
      </c>
      <c r="B17" s="592">
        <v>3100859</v>
      </c>
      <c r="C17" s="592">
        <v>1135221</v>
      </c>
      <c r="D17" s="592">
        <v>4236080</v>
      </c>
      <c r="E17" s="592">
        <v>4085505</v>
      </c>
      <c r="F17" s="592">
        <v>100142</v>
      </c>
      <c r="G17" s="592">
        <v>4185647</v>
      </c>
      <c r="H17" s="592">
        <v>50433</v>
      </c>
      <c r="I17" s="592">
        <v>-50433</v>
      </c>
      <c r="J17" s="592">
        <v>0</v>
      </c>
      <c r="K17" s="592">
        <v>-50433</v>
      </c>
      <c r="L17" s="592">
        <v>415621</v>
      </c>
      <c r="M17" s="592">
        <v>466054</v>
      </c>
      <c r="N17" s="592">
        <v>0</v>
      </c>
      <c r="O17" s="592">
        <v>0</v>
      </c>
      <c r="P17" s="596">
        <v>0</v>
      </c>
    </row>
    <row r="18" spans="1:16" ht="12">
      <c r="A18" s="595" t="s">
        <v>610</v>
      </c>
      <c r="B18" s="592">
        <v>1147065</v>
      </c>
      <c r="C18" s="592">
        <v>551177</v>
      </c>
      <c r="D18" s="592">
        <v>1698242</v>
      </c>
      <c r="E18" s="592">
        <v>1740911</v>
      </c>
      <c r="F18" s="592">
        <v>0</v>
      </c>
      <c r="G18" s="592">
        <v>1740911</v>
      </c>
      <c r="H18" s="592">
        <v>-42669</v>
      </c>
      <c r="I18" s="592">
        <v>42669</v>
      </c>
      <c r="J18" s="592">
        <v>0</v>
      </c>
      <c r="K18" s="592">
        <v>42669</v>
      </c>
      <c r="L18" s="592">
        <v>90589</v>
      </c>
      <c r="M18" s="592">
        <v>47920</v>
      </c>
      <c r="N18" s="592">
        <v>0</v>
      </c>
      <c r="O18" s="592">
        <v>0</v>
      </c>
      <c r="P18" s="596">
        <v>0</v>
      </c>
    </row>
    <row r="19" spans="1:16" ht="12">
      <c r="A19" s="595" t="s">
        <v>611</v>
      </c>
      <c r="B19" s="592">
        <v>3690124</v>
      </c>
      <c r="C19" s="592">
        <v>404317</v>
      </c>
      <c r="D19" s="592">
        <v>4094441</v>
      </c>
      <c r="E19" s="592">
        <v>2607755</v>
      </c>
      <c r="F19" s="592">
        <v>866086</v>
      </c>
      <c r="G19" s="592">
        <v>3473841</v>
      </c>
      <c r="H19" s="592">
        <v>620600</v>
      </c>
      <c r="I19" s="592">
        <v>-620600</v>
      </c>
      <c r="J19" s="592">
        <v>0</v>
      </c>
      <c r="K19" s="592">
        <v>-620600</v>
      </c>
      <c r="L19" s="592">
        <v>972974</v>
      </c>
      <c r="M19" s="592">
        <v>1593574</v>
      </c>
      <c r="N19" s="592">
        <v>0</v>
      </c>
      <c r="O19" s="592">
        <v>0</v>
      </c>
      <c r="P19" s="596">
        <v>0</v>
      </c>
    </row>
    <row r="20" spans="1:16" ht="12.75">
      <c r="A20" s="591" t="s">
        <v>612</v>
      </c>
      <c r="B20" s="592">
        <f aca="true" t="shared" si="0" ref="B20:P20">SUM(B13:B19)</f>
        <v>53820000</v>
      </c>
      <c r="C20" s="592">
        <f t="shared" si="0"/>
        <v>12436000</v>
      </c>
      <c r="D20" s="592">
        <f t="shared" si="0"/>
        <v>66255000</v>
      </c>
      <c r="E20" s="592">
        <f t="shared" si="0"/>
        <v>56142000</v>
      </c>
      <c r="F20" s="592">
        <f t="shared" si="0"/>
        <v>7040000</v>
      </c>
      <c r="G20" s="592">
        <f t="shared" si="0"/>
        <v>63181000</v>
      </c>
      <c r="H20" s="592">
        <f t="shared" si="0"/>
        <v>3074000</v>
      </c>
      <c r="I20" s="592">
        <f t="shared" si="0"/>
        <v>-3074000</v>
      </c>
      <c r="J20" s="592">
        <f t="shared" si="0"/>
        <v>-4870000</v>
      </c>
      <c r="K20" s="592">
        <f t="shared" si="0"/>
        <v>-128000</v>
      </c>
      <c r="L20" s="592">
        <f t="shared" si="0"/>
        <v>7393000</v>
      </c>
      <c r="M20" s="592">
        <f t="shared" si="0"/>
        <v>7521000</v>
      </c>
      <c r="N20" s="592">
        <f t="shared" si="0"/>
        <v>-4300000</v>
      </c>
      <c r="O20" s="592">
        <f t="shared" si="0"/>
        <v>6170000</v>
      </c>
      <c r="P20" s="596">
        <f t="shared" si="0"/>
        <v>54000</v>
      </c>
    </row>
    <row r="21" spans="1:16" s="597" customFormat="1" ht="12.75">
      <c r="A21" s="591" t="s">
        <v>613</v>
      </c>
      <c r="B21" s="592"/>
      <c r="C21" s="592"/>
      <c r="D21" s="592"/>
      <c r="E21" s="592"/>
      <c r="F21" s="592"/>
      <c r="G21" s="592"/>
      <c r="H21" s="592"/>
      <c r="I21" s="592"/>
      <c r="J21" s="592"/>
      <c r="K21" s="592"/>
      <c r="L21" s="592"/>
      <c r="M21" s="592"/>
      <c r="N21" s="592"/>
      <c r="O21" s="592"/>
      <c r="P21" s="596"/>
    </row>
    <row r="22" spans="1:16" ht="12">
      <c r="A22" s="595" t="s">
        <v>614</v>
      </c>
      <c r="B22" s="592">
        <v>1235956</v>
      </c>
      <c r="C22" s="592">
        <v>1065735</v>
      </c>
      <c r="D22" s="592">
        <v>2301691</v>
      </c>
      <c r="E22" s="592">
        <v>2217950</v>
      </c>
      <c r="F22" s="592">
        <v>147699</v>
      </c>
      <c r="G22" s="592">
        <v>2365649</v>
      </c>
      <c r="H22" s="592">
        <v>-63958</v>
      </c>
      <c r="I22" s="592">
        <v>63958</v>
      </c>
      <c r="J22" s="592">
        <v>-5455</v>
      </c>
      <c r="K22" s="592">
        <v>39393</v>
      </c>
      <c r="L22" s="592">
        <v>517917</v>
      </c>
      <c r="M22" s="592">
        <v>478524</v>
      </c>
      <c r="N22" s="592">
        <v>-8532</v>
      </c>
      <c r="O22" s="592">
        <v>-6950</v>
      </c>
      <c r="P22" s="596">
        <v>45000</v>
      </c>
    </row>
    <row r="23" spans="1:16" ht="12">
      <c r="A23" s="595" t="s">
        <v>615</v>
      </c>
      <c r="B23" s="592">
        <v>640259</v>
      </c>
      <c r="C23" s="592">
        <v>836165</v>
      </c>
      <c r="D23" s="592">
        <v>1476424</v>
      </c>
      <c r="E23" s="592">
        <v>1338291</v>
      </c>
      <c r="F23" s="592">
        <v>40603</v>
      </c>
      <c r="G23" s="592">
        <v>1378894</v>
      </c>
      <c r="H23" s="592">
        <v>97530</v>
      </c>
      <c r="I23" s="592">
        <v>-97530</v>
      </c>
      <c r="J23" s="592">
        <v>44629</v>
      </c>
      <c r="K23" s="592">
        <v>-141086</v>
      </c>
      <c r="L23" s="592">
        <v>80951</v>
      </c>
      <c r="M23" s="592">
        <v>222037</v>
      </c>
      <c r="N23" s="592">
        <v>0</v>
      </c>
      <c r="O23" s="592">
        <v>-1073</v>
      </c>
      <c r="P23" s="596">
        <v>0</v>
      </c>
    </row>
    <row r="24" spans="1:16" ht="12">
      <c r="A24" s="595" t="s">
        <v>616</v>
      </c>
      <c r="B24" s="592">
        <v>586983</v>
      </c>
      <c r="C24" s="592">
        <v>1020682</v>
      </c>
      <c r="D24" s="592">
        <v>1607665</v>
      </c>
      <c r="E24" s="592">
        <v>1500473</v>
      </c>
      <c r="F24" s="592">
        <v>35886</v>
      </c>
      <c r="G24" s="592">
        <v>1536359</v>
      </c>
      <c r="H24" s="592">
        <v>71306</v>
      </c>
      <c r="I24" s="592">
        <v>-71306</v>
      </c>
      <c r="J24" s="592">
        <v>-3914</v>
      </c>
      <c r="K24" s="592">
        <v>-66046</v>
      </c>
      <c r="L24" s="592">
        <v>98384</v>
      </c>
      <c r="M24" s="592">
        <v>164430</v>
      </c>
      <c r="N24" s="592">
        <v>0</v>
      </c>
      <c r="O24" s="592">
        <v>-1346</v>
      </c>
      <c r="P24" s="596">
        <v>0</v>
      </c>
    </row>
    <row r="25" spans="1:16" ht="12">
      <c r="A25" s="595" t="s">
        <v>617</v>
      </c>
      <c r="B25" s="592">
        <v>1281497</v>
      </c>
      <c r="C25" s="592">
        <v>1427029</v>
      </c>
      <c r="D25" s="592">
        <v>2708526</v>
      </c>
      <c r="E25" s="592">
        <v>2539413</v>
      </c>
      <c r="F25" s="592">
        <v>160113</v>
      </c>
      <c r="G25" s="592">
        <v>2699526</v>
      </c>
      <c r="H25" s="592">
        <v>9000</v>
      </c>
      <c r="I25" s="592">
        <v>-9000</v>
      </c>
      <c r="J25" s="592">
        <v>36975</v>
      </c>
      <c r="K25" s="592">
        <v>-77450</v>
      </c>
      <c r="L25" s="592">
        <v>242344</v>
      </c>
      <c r="M25" s="592">
        <v>319794</v>
      </c>
      <c r="N25" s="592">
        <v>39716</v>
      </c>
      <c r="O25" s="592">
        <v>-622</v>
      </c>
      <c r="P25" s="596">
        <v>-7619</v>
      </c>
    </row>
    <row r="26" spans="1:16" ht="12">
      <c r="A26" s="595" t="s">
        <v>618</v>
      </c>
      <c r="B26" s="592">
        <v>2003699</v>
      </c>
      <c r="C26" s="592">
        <v>1770845</v>
      </c>
      <c r="D26" s="592">
        <v>3774544</v>
      </c>
      <c r="E26" s="592">
        <v>3382761</v>
      </c>
      <c r="F26" s="592">
        <v>158309</v>
      </c>
      <c r="G26" s="592">
        <v>3541070</v>
      </c>
      <c r="H26" s="592">
        <v>233474</v>
      </c>
      <c r="I26" s="592">
        <v>-233474</v>
      </c>
      <c r="J26" s="592">
        <v>-14950</v>
      </c>
      <c r="K26" s="592">
        <v>-205363</v>
      </c>
      <c r="L26" s="592">
        <v>184737</v>
      </c>
      <c r="M26" s="592">
        <v>390100</v>
      </c>
      <c r="N26" s="592">
        <v>1243</v>
      </c>
      <c r="O26" s="592">
        <v>0</v>
      </c>
      <c r="P26" s="596">
        <v>-14404</v>
      </c>
    </row>
    <row r="27" spans="1:16" ht="12">
      <c r="A27" s="595" t="s">
        <v>619</v>
      </c>
      <c r="B27" s="592">
        <v>995209</v>
      </c>
      <c r="C27" s="592">
        <v>1409056</v>
      </c>
      <c r="D27" s="592">
        <v>2404265</v>
      </c>
      <c r="E27" s="592">
        <v>1972980</v>
      </c>
      <c r="F27" s="592">
        <v>111713</v>
      </c>
      <c r="G27" s="592">
        <v>2084693</v>
      </c>
      <c r="H27" s="592">
        <v>319572</v>
      </c>
      <c r="I27" s="592">
        <v>-319572</v>
      </c>
      <c r="J27" s="592">
        <v>92561</v>
      </c>
      <c r="K27" s="592">
        <v>-404924</v>
      </c>
      <c r="L27" s="592">
        <v>220219</v>
      </c>
      <c r="M27" s="592">
        <v>625143</v>
      </c>
      <c r="N27" s="592">
        <v>-668</v>
      </c>
      <c r="O27" s="592">
        <v>0</v>
      </c>
      <c r="P27" s="596">
        <v>-6541</v>
      </c>
    </row>
    <row r="28" spans="1:16" ht="12">
      <c r="A28" s="595" t="s">
        <v>620</v>
      </c>
      <c r="B28" s="592">
        <v>1076252</v>
      </c>
      <c r="C28" s="592">
        <v>1016167</v>
      </c>
      <c r="D28" s="592">
        <v>2092419</v>
      </c>
      <c r="E28" s="592">
        <v>1926964</v>
      </c>
      <c r="F28" s="592">
        <v>130841</v>
      </c>
      <c r="G28" s="592">
        <v>2057805</v>
      </c>
      <c r="H28" s="592">
        <v>34614</v>
      </c>
      <c r="I28" s="592">
        <v>-34614</v>
      </c>
      <c r="J28" s="592">
        <v>33798</v>
      </c>
      <c r="K28" s="592">
        <v>-68412</v>
      </c>
      <c r="L28" s="592">
        <v>161601</v>
      </c>
      <c r="M28" s="592">
        <v>230013</v>
      </c>
      <c r="N28" s="592">
        <v>0</v>
      </c>
      <c r="O28" s="592">
        <v>0</v>
      </c>
      <c r="P28" s="596">
        <v>0</v>
      </c>
    </row>
    <row r="29" spans="1:16" ht="12">
      <c r="A29" s="595" t="s">
        <v>621</v>
      </c>
      <c r="B29" s="592">
        <v>745354</v>
      </c>
      <c r="C29" s="592">
        <v>780326</v>
      </c>
      <c r="D29" s="592">
        <v>1525680</v>
      </c>
      <c r="E29" s="592">
        <v>1353176</v>
      </c>
      <c r="F29" s="592">
        <v>26887</v>
      </c>
      <c r="G29" s="592">
        <v>1380063</v>
      </c>
      <c r="H29" s="592">
        <v>145617</v>
      </c>
      <c r="I29" s="592">
        <v>-145617</v>
      </c>
      <c r="J29" s="592">
        <v>15416</v>
      </c>
      <c r="K29" s="592">
        <v>-126673</v>
      </c>
      <c r="L29" s="592">
        <v>286223</v>
      </c>
      <c r="M29" s="592">
        <v>412896</v>
      </c>
      <c r="N29" s="592">
        <v>0</v>
      </c>
      <c r="O29" s="592">
        <v>0</v>
      </c>
      <c r="P29" s="596">
        <v>-34360</v>
      </c>
    </row>
    <row r="30" spans="1:16" ht="12">
      <c r="A30" s="595" t="s">
        <v>622</v>
      </c>
      <c r="B30" s="592">
        <v>913021</v>
      </c>
      <c r="C30" s="592">
        <v>933019</v>
      </c>
      <c r="D30" s="592">
        <v>1846040</v>
      </c>
      <c r="E30" s="592">
        <v>1659639</v>
      </c>
      <c r="F30" s="592">
        <v>101756</v>
      </c>
      <c r="G30" s="592">
        <v>1761395</v>
      </c>
      <c r="H30" s="592">
        <v>84645</v>
      </c>
      <c r="I30" s="592">
        <v>-84645</v>
      </c>
      <c r="J30" s="592">
        <v>34680</v>
      </c>
      <c r="K30" s="592">
        <v>-120125</v>
      </c>
      <c r="L30" s="592">
        <v>80112</v>
      </c>
      <c r="M30" s="592">
        <v>200237</v>
      </c>
      <c r="N30" s="592">
        <v>400</v>
      </c>
      <c r="O30" s="592">
        <v>400</v>
      </c>
      <c r="P30" s="596">
        <v>0</v>
      </c>
    </row>
    <row r="31" spans="1:16" ht="12">
      <c r="A31" s="595" t="s">
        <v>623</v>
      </c>
      <c r="B31" s="592">
        <v>1240720</v>
      </c>
      <c r="C31" s="592">
        <v>1523154</v>
      </c>
      <c r="D31" s="592">
        <v>2763874</v>
      </c>
      <c r="E31" s="592">
        <v>2668367</v>
      </c>
      <c r="F31" s="592">
        <v>64524</v>
      </c>
      <c r="G31" s="592">
        <v>2732891</v>
      </c>
      <c r="H31" s="592">
        <v>30983</v>
      </c>
      <c r="I31" s="592">
        <v>-30983</v>
      </c>
      <c r="J31" s="592">
        <v>-36651</v>
      </c>
      <c r="K31" s="592">
        <v>-5031</v>
      </c>
      <c r="L31" s="592">
        <v>518900</v>
      </c>
      <c r="M31" s="592">
        <v>523931</v>
      </c>
      <c r="N31" s="592">
        <v>0</v>
      </c>
      <c r="O31" s="592">
        <v>10699</v>
      </c>
      <c r="P31" s="596">
        <v>0</v>
      </c>
    </row>
    <row r="32" spans="1:16" ht="12">
      <c r="A32" s="595" t="s">
        <v>624</v>
      </c>
      <c r="B32" s="592">
        <v>652730</v>
      </c>
      <c r="C32" s="592">
        <v>1118427</v>
      </c>
      <c r="D32" s="592">
        <v>1771157</v>
      </c>
      <c r="E32" s="592">
        <v>1542278</v>
      </c>
      <c r="F32" s="592">
        <v>57591</v>
      </c>
      <c r="G32" s="592">
        <v>1599869</v>
      </c>
      <c r="H32" s="592">
        <v>171288</v>
      </c>
      <c r="I32" s="592">
        <v>-171288</v>
      </c>
      <c r="J32" s="592">
        <v>-14742</v>
      </c>
      <c r="K32" s="592">
        <v>-155296</v>
      </c>
      <c r="L32" s="592">
        <v>78840</v>
      </c>
      <c r="M32" s="592">
        <v>234136</v>
      </c>
      <c r="N32" s="592">
        <v>-1250</v>
      </c>
      <c r="O32" s="592">
        <v>0</v>
      </c>
      <c r="P32" s="596">
        <v>0</v>
      </c>
    </row>
    <row r="33" spans="1:16" ht="12">
      <c r="A33" s="595" t="s">
        <v>625</v>
      </c>
      <c r="B33" s="592">
        <v>1178219</v>
      </c>
      <c r="C33" s="592">
        <v>1171221</v>
      </c>
      <c r="D33" s="592">
        <v>2349440</v>
      </c>
      <c r="E33" s="592">
        <v>2110669</v>
      </c>
      <c r="F33" s="592">
        <v>62232</v>
      </c>
      <c r="G33" s="592">
        <v>2172901</v>
      </c>
      <c r="H33" s="592">
        <v>176539</v>
      </c>
      <c r="I33" s="592">
        <v>-176539</v>
      </c>
      <c r="J33" s="592">
        <v>1116</v>
      </c>
      <c r="K33" s="592">
        <v>-154450</v>
      </c>
      <c r="L33" s="592">
        <v>293631</v>
      </c>
      <c r="M33" s="592">
        <v>448081</v>
      </c>
      <c r="N33" s="592">
        <v>0</v>
      </c>
      <c r="O33" s="592">
        <v>0</v>
      </c>
      <c r="P33" s="596">
        <v>-23205</v>
      </c>
    </row>
    <row r="34" spans="1:16" ht="12">
      <c r="A34" s="595" t="s">
        <v>626</v>
      </c>
      <c r="B34" s="592">
        <v>1109176</v>
      </c>
      <c r="C34" s="592">
        <v>1302117</v>
      </c>
      <c r="D34" s="592">
        <v>2411293</v>
      </c>
      <c r="E34" s="592">
        <v>2288233</v>
      </c>
      <c r="F34" s="592">
        <v>44102</v>
      </c>
      <c r="G34" s="592">
        <v>2332335</v>
      </c>
      <c r="H34" s="592">
        <v>78958</v>
      </c>
      <c r="I34" s="592">
        <v>-78958</v>
      </c>
      <c r="J34" s="592">
        <v>-3206</v>
      </c>
      <c r="K34" s="592">
        <v>-69838</v>
      </c>
      <c r="L34" s="592">
        <v>163151</v>
      </c>
      <c r="M34" s="592">
        <v>232989</v>
      </c>
      <c r="N34" s="592">
        <v>0</v>
      </c>
      <c r="O34" s="592">
        <v>-5914</v>
      </c>
      <c r="P34" s="596">
        <v>0</v>
      </c>
    </row>
    <row r="35" spans="1:16" ht="12">
      <c r="A35" s="595" t="s">
        <v>627</v>
      </c>
      <c r="B35" s="592">
        <v>1144816</v>
      </c>
      <c r="C35" s="592">
        <v>978611</v>
      </c>
      <c r="D35" s="592">
        <v>2123427</v>
      </c>
      <c r="E35" s="592">
        <v>2141711</v>
      </c>
      <c r="F35" s="592">
        <v>157658</v>
      </c>
      <c r="G35" s="592">
        <v>2299369</v>
      </c>
      <c r="H35" s="592">
        <v>-175942</v>
      </c>
      <c r="I35" s="592">
        <v>175942</v>
      </c>
      <c r="J35" s="592">
        <v>486038</v>
      </c>
      <c r="K35" s="592">
        <v>-305056</v>
      </c>
      <c r="L35" s="592">
        <v>278002</v>
      </c>
      <c r="M35" s="592">
        <v>583058</v>
      </c>
      <c r="N35" s="592">
        <v>-5040</v>
      </c>
      <c r="O35" s="592">
        <v>0</v>
      </c>
      <c r="P35" s="596">
        <v>0</v>
      </c>
    </row>
    <row r="36" spans="1:16" ht="12">
      <c r="A36" s="595" t="s">
        <v>628</v>
      </c>
      <c r="B36" s="592">
        <v>646325</v>
      </c>
      <c r="C36" s="592">
        <v>961950</v>
      </c>
      <c r="D36" s="592">
        <v>1608275</v>
      </c>
      <c r="E36" s="592">
        <v>1428194</v>
      </c>
      <c r="F36" s="592">
        <v>58315</v>
      </c>
      <c r="G36" s="592">
        <v>1486509</v>
      </c>
      <c r="H36" s="592">
        <v>121766</v>
      </c>
      <c r="I36" s="592">
        <v>-121766</v>
      </c>
      <c r="J36" s="592">
        <v>-41890</v>
      </c>
      <c r="K36" s="592">
        <v>-83973</v>
      </c>
      <c r="L36" s="592">
        <v>266422</v>
      </c>
      <c r="M36" s="592">
        <v>350395</v>
      </c>
      <c r="N36" s="592">
        <v>4850</v>
      </c>
      <c r="O36" s="592">
        <v>0</v>
      </c>
      <c r="P36" s="596">
        <v>-753</v>
      </c>
    </row>
    <row r="37" spans="1:16" ht="12">
      <c r="A37" s="595" t="s">
        <v>629</v>
      </c>
      <c r="B37" s="592">
        <v>1117397</v>
      </c>
      <c r="C37" s="592">
        <v>1339622</v>
      </c>
      <c r="D37" s="592">
        <v>2457019</v>
      </c>
      <c r="E37" s="592">
        <v>2247980</v>
      </c>
      <c r="F37" s="592">
        <v>120745</v>
      </c>
      <c r="G37" s="592">
        <v>2368725</v>
      </c>
      <c r="H37" s="592">
        <v>88294</v>
      </c>
      <c r="I37" s="592">
        <v>-88294</v>
      </c>
      <c r="J37" s="592">
        <v>-4429</v>
      </c>
      <c r="K37" s="592">
        <v>-82716</v>
      </c>
      <c r="L37" s="592">
        <v>213638</v>
      </c>
      <c r="M37" s="592">
        <v>296354</v>
      </c>
      <c r="N37" s="592">
        <v>3287</v>
      </c>
      <c r="O37" s="592">
        <v>-4436</v>
      </c>
      <c r="P37" s="596">
        <v>0</v>
      </c>
    </row>
    <row r="38" spans="1:16" ht="12">
      <c r="A38" s="595" t="s">
        <v>630</v>
      </c>
      <c r="B38" s="592">
        <v>2007017</v>
      </c>
      <c r="C38" s="592">
        <v>1168166</v>
      </c>
      <c r="D38" s="592">
        <v>3175183</v>
      </c>
      <c r="E38" s="592">
        <v>2944063</v>
      </c>
      <c r="F38" s="592">
        <v>177327</v>
      </c>
      <c r="G38" s="592">
        <v>3121390</v>
      </c>
      <c r="H38" s="592">
        <v>53793</v>
      </c>
      <c r="I38" s="592">
        <v>-53793</v>
      </c>
      <c r="J38" s="592">
        <v>-41767</v>
      </c>
      <c r="K38" s="592">
        <v>9167</v>
      </c>
      <c r="L38" s="592">
        <v>346403</v>
      </c>
      <c r="M38" s="592">
        <v>337236</v>
      </c>
      <c r="N38" s="592">
        <v>-2870</v>
      </c>
      <c r="O38" s="592">
        <v>-7000</v>
      </c>
      <c r="P38" s="596">
        <v>-11323</v>
      </c>
    </row>
    <row r="39" spans="1:16" ht="12">
      <c r="A39" s="595" t="s">
        <v>631</v>
      </c>
      <c r="B39" s="592">
        <v>750104</v>
      </c>
      <c r="C39" s="592">
        <v>1292000</v>
      </c>
      <c r="D39" s="592">
        <v>2042654</v>
      </c>
      <c r="E39" s="592">
        <v>1911993</v>
      </c>
      <c r="F39" s="592">
        <v>41934</v>
      </c>
      <c r="G39" s="592">
        <v>1953927</v>
      </c>
      <c r="H39" s="592">
        <v>88727</v>
      </c>
      <c r="I39" s="592">
        <v>-88727</v>
      </c>
      <c r="J39" s="592">
        <v>79714</v>
      </c>
      <c r="K39" s="592">
        <v>-187639</v>
      </c>
      <c r="L39" s="592">
        <v>131554</v>
      </c>
      <c r="M39" s="592">
        <v>319193</v>
      </c>
      <c r="N39" s="592">
        <v>-6610</v>
      </c>
      <c r="O39" s="592">
        <v>25808</v>
      </c>
      <c r="P39" s="596">
        <v>0</v>
      </c>
    </row>
    <row r="40" spans="1:16" ht="12">
      <c r="A40" s="595" t="s">
        <v>632</v>
      </c>
      <c r="B40" s="592">
        <v>676764</v>
      </c>
      <c r="C40" s="592">
        <v>1439848</v>
      </c>
      <c r="D40" s="592">
        <v>2116612</v>
      </c>
      <c r="E40" s="592">
        <v>2023294</v>
      </c>
      <c r="F40" s="592">
        <v>72177</v>
      </c>
      <c r="G40" s="592">
        <v>2095471</v>
      </c>
      <c r="H40" s="592">
        <v>21141</v>
      </c>
      <c r="I40" s="592">
        <v>-21141</v>
      </c>
      <c r="J40" s="592">
        <v>5578</v>
      </c>
      <c r="K40" s="592">
        <v>-50607</v>
      </c>
      <c r="L40" s="592">
        <v>154522</v>
      </c>
      <c r="M40" s="592">
        <v>205129</v>
      </c>
      <c r="N40" s="592">
        <v>-1503</v>
      </c>
      <c r="O40" s="592">
        <v>0</v>
      </c>
      <c r="P40" s="596">
        <v>25391</v>
      </c>
    </row>
    <row r="41" spans="1:16" ht="12">
      <c r="A41" s="595" t="s">
        <v>633</v>
      </c>
      <c r="B41" s="592">
        <v>5950351</v>
      </c>
      <c r="C41" s="592">
        <v>2356344</v>
      </c>
      <c r="D41" s="592">
        <v>8306695</v>
      </c>
      <c r="E41" s="592">
        <v>7458003</v>
      </c>
      <c r="F41" s="592">
        <v>948827</v>
      </c>
      <c r="G41" s="592">
        <v>8406830</v>
      </c>
      <c r="H41" s="592">
        <v>-100135</v>
      </c>
      <c r="I41" s="592">
        <v>100135</v>
      </c>
      <c r="J41" s="592">
        <v>199526</v>
      </c>
      <c r="K41" s="592">
        <v>-440474</v>
      </c>
      <c r="L41" s="592">
        <v>1222971</v>
      </c>
      <c r="M41" s="592">
        <v>1663445</v>
      </c>
      <c r="N41" s="592">
        <v>79200</v>
      </c>
      <c r="O41" s="592">
        <v>0</v>
      </c>
      <c r="P41" s="596">
        <v>261883</v>
      </c>
    </row>
    <row r="42" spans="1:16" ht="12">
      <c r="A42" s="595" t="s">
        <v>634</v>
      </c>
      <c r="B42" s="592">
        <v>1215788</v>
      </c>
      <c r="C42" s="592">
        <v>1134047</v>
      </c>
      <c r="D42" s="592">
        <v>2349835</v>
      </c>
      <c r="E42" s="592">
        <v>2297586</v>
      </c>
      <c r="F42" s="592">
        <v>93954</v>
      </c>
      <c r="G42" s="592">
        <v>2391540</v>
      </c>
      <c r="H42" s="592">
        <v>-41705</v>
      </c>
      <c r="I42" s="592">
        <v>41705</v>
      </c>
      <c r="J42" s="592">
        <v>118944</v>
      </c>
      <c r="K42" s="592">
        <v>-26972</v>
      </c>
      <c r="L42" s="592">
        <v>177036</v>
      </c>
      <c r="M42" s="592">
        <v>204008</v>
      </c>
      <c r="N42" s="592">
        <v>0</v>
      </c>
      <c r="O42" s="592">
        <v>0</v>
      </c>
      <c r="P42" s="596">
        <v>-50267</v>
      </c>
    </row>
    <row r="43" spans="1:16" ht="12">
      <c r="A43" s="595" t="s">
        <v>635</v>
      </c>
      <c r="B43" s="592">
        <v>1341925</v>
      </c>
      <c r="C43" s="592">
        <v>1380283</v>
      </c>
      <c r="D43" s="592">
        <v>2722208</v>
      </c>
      <c r="E43" s="592">
        <v>2668697</v>
      </c>
      <c r="F43" s="592">
        <v>64933</v>
      </c>
      <c r="G43" s="592">
        <v>2733630</v>
      </c>
      <c r="H43" s="592">
        <v>-11422</v>
      </c>
      <c r="I43" s="592">
        <v>11422</v>
      </c>
      <c r="J43" s="592">
        <v>-12479</v>
      </c>
      <c r="K43" s="592">
        <v>52642</v>
      </c>
      <c r="L43" s="592">
        <v>369908</v>
      </c>
      <c r="M43" s="592">
        <v>317266</v>
      </c>
      <c r="N43" s="592">
        <v>-6468</v>
      </c>
      <c r="O43" s="592">
        <v>-5500</v>
      </c>
      <c r="P43" s="596">
        <v>-16773</v>
      </c>
    </row>
    <row r="44" spans="1:16" ht="12">
      <c r="A44" s="595" t="s">
        <v>636</v>
      </c>
      <c r="B44" s="592">
        <v>1620522</v>
      </c>
      <c r="C44" s="592">
        <v>1915770</v>
      </c>
      <c r="D44" s="592">
        <v>3536292</v>
      </c>
      <c r="E44" s="592">
        <v>3137350</v>
      </c>
      <c r="F44" s="592">
        <v>305643</v>
      </c>
      <c r="G44" s="592">
        <v>3442993</v>
      </c>
      <c r="H44" s="592">
        <v>93299</v>
      </c>
      <c r="I44" s="592">
        <v>-93299</v>
      </c>
      <c r="J44" s="592">
        <v>210772</v>
      </c>
      <c r="K44" s="592">
        <v>-298676</v>
      </c>
      <c r="L44" s="592">
        <v>380587</v>
      </c>
      <c r="M44" s="592">
        <v>679263</v>
      </c>
      <c r="N44" s="592">
        <v>-2088</v>
      </c>
      <c r="O44" s="592">
        <v>-340</v>
      </c>
      <c r="P44" s="596">
        <v>-2967</v>
      </c>
    </row>
    <row r="45" spans="1:16" ht="12">
      <c r="A45" s="595" t="s">
        <v>637</v>
      </c>
      <c r="B45" s="592">
        <v>1026048</v>
      </c>
      <c r="C45" s="592">
        <v>799223</v>
      </c>
      <c r="D45" s="592">
        <v>1825271</v>
      </c>
      <c r="E45" s="592">
        <v>1568768</v>
      </c>
      <c r="F45" s="592">
        <v>89387</v>
      </c>
      <c r="G45" s="592">
        <v>1658155</v>
      </c>
      <c r="H45" s="592">
        <v>167116</v>
      </c>
      <c r="I45" s="592">
        <v>-167116</v>
      </c>
      <c r="J45" s="592">
        <v>-12277</v>
      </c>
      <c r="K45" s="592">
        <v>-108497</v>
      </c>
      <c r="L45" s="592">
        <v>129885</v>
      </c>
      <c r="M45" s="592">
        <v>238382</v>
      </c>
      <c r="N45" s="592">
        <v>-864</v>
      </c>
      <c r="O45" s="592">
        <v>0</v>
      </c>
      <c r="P45" s="596">
        <v>-44834</v>
      </c>
    </row>
    <row r="46" spans="1:16" ht="12">
      <c r="A46" s="595" t="s">
        <v>638</v>
      </c>
      <c r="B46" s="592">
        <v>2979863</v>
      </c>
      <c r="C46" s="592">
        <v>1621967</v>
      </c>
      <c r="D46" s="592">
        <v>4601830</v>
      </c>
      <c r="E46" s="592">
        <v>4343729</v>
      </c>
      <c r="F46" s="592">
        <v>186691</v>
      </c>
      <c r="G46" s="592">
        <v>4530420</v>
      </c>
      <c r="H46" s="592">
        <v>71410</v>
      </c>
      <c r="I46" s="592">
        <v>-71410</v>
      </c>
      <c r="J46" s="592">
        <v>155297</v>
      </c>
      <c r="K46" s="592">
        <v>-189909</v>
      </c>
      <c r="L46" s="592">
        <v>198330</v>
      </c>
      <c r="M46" s="592">
        <v>388239</v>
      </c>
      <c r="N46" s="592">
        <v>-16095</v>
      </c>
      <c r="O46" s="592">
        <v>-1807</v>
      </c>
      <c r="P46" s="596">
        <v>-18896</v>
      </c>
    </row>
    <row r="47" spans="1:16" ht="12">
      <c r="A47" s="595" t="s">
        <v>639</v>
      </c>
      <c r="B47" s="592">
        <v>473133</v>
      </c>
      <c r="C47" s="592">
        <v>339186</v>
      </c>
      <c r="D47" s="592">
        <v>812319</v>
      </c>
      <c r="E47" s="592">
        <v>782836</v>
      </c>
      <c r="F47" s="592">
        <v>28342</v>
      </c>
      <c r="G47" s="592">
        <v>811178</v>
      </c>
      <c r="H47" s="592">
        <v>1141</v>
      </c>
      <c r="I47" s="592">
        <v>-1141</v>
      </c>
      <c r="J47" s="592">
        <v>90000</v>
      </c>
      <c r="K47" s="592">
        <v>-91141</v>
      </c>
      <c r="L47" s="592">
        <v>61596</v>
      </c>
      <c r="M47" s="592">
        <v>152737</v>
      </c>
      <c r="N47" s="592">
        <v>0</v>
      </c>
      <c r="O47" s="592">
        <v>0</v>
      </c>
      <c r="P47" s="596">
        <v>0</v>
      </c>
    </row>
    <row r="48" spans="1:16" ht="12.75">
      <c r="A48" s="591" t="s">
        <v>640</v>
      </c>
      <c r="B48" s="592">
        <f aca="true" t="shared" si="1" ref="B48:P48">SUM(B22:B47)</f>
        <v>34609000</v>
      </c>
      <c r="C48" s="592">
        <f t="shared" si="1"/>
        <v>32101000</v>
      </c>
      <c r="D48" s="592">
        <f t="shared" si="1"/>
        <v>66711000</v>
      </c>
      <c r="E48" s="592">
        <f t="shared" si="1"/>
        <v>61455000</v>
      </c>
      <c r="F48" s="592">
        <f t="shared" si="1"/>
        <v>3488000</v>
      </c>
      <c r="G48" s="592">
        <f t="shared" si="1"/>
        <v>64944000</v>
      </c>
      <c r="H48" s="592">
        <f t="shared" si="1"/>
        <v>1767000</v>
      </c>
      <c r="I48" s="592">
        <f t="shared" si="1"/>
        <v>-1767000</v>
      </c>
      <c r="J48" s="592">
        <f t="shared" si="1"/>
        <v>1413000</v>
      </c>
      <c r="K48" s="592">
        <f t="shared" si="1"/>
        <v>-3359000</v>
      </c>
      <c r="L48" s="592">
        <f t="shared" si="1"/>
        <v>6858000</v>
      </c>
      <c r="M48" s="592">
        <f t="shared" si="1"/>
        <v>10217000</v>
      </c>
      <c r="N48" s="592">
        <f t="shared" si="1"/>
        <v>77000</v>
      </c>
      <c r="O48" s="592">
        <f t="shared" si="1"/>
        <v>2000</v>
      </c>
      <c r="P48" s="596">
        <f t="shared" si="1"/>
        <v>100000</v>
      </c>
    </row>
    <row r="49" spans="1:16" ht="12.75">
      <c r="A49" s="598" t="s">
        <v>641</v>
      </c>
      <c r="B49" s="599">
        <f aca="true" t="shared" si="2" ref="B49:P49">B48+B20</f>
        <v>88429000</v>
      </c>
      <c r="C49" s="599">
        <f t="shared" si="2"/>
        <v>44537000</v>
      </c>
      <c r="D49" s="599">
        <f t="shared" si="2"/>
        <v>132966000</v>
      </c>
      <c r="E49" s="599">
        <f t="shared" si="2"/>
        <v>117597000</v>
      </c>
      <c r="F49" s="599">
        <f t="shared" si="2"/>
        <v>10528000</v>
      </c>
      <c r="G49" s="599">
        <f t="shared" si="2"/>
        <v>128125000</v>
      </c>
      <c r="H49" s="599">
        <f t="shared" si="2"/>
        <v>4841000</v>
      </c>
      <c r="I49" s="599">
        <f t="shared" si="2"/>
        <v>-4841000</v>
      </c>
      <c r="J49" s="599">
        <f t="shared" si="2"/>
        <v>-3457000</v>
      </c>
      <c r="K49" s="599">
        <f t="shared" si="2"/>
        <v>-3487000</v>
      </c>
      <c r="L49" s="599">
        <f t="shared" si="2"/>
        <v>14251000</v>
      </c>
      <c r="M49" s="599">
        <f t="shared" si="2"/>
        <v>17738000</v>
      </c>
      <c r="N49" s="599">
        <f t="shared" si="2"/>
        <v>-4223000</v>
      </c>
      <c r="O49" s="599">
        <f t="shared" si="2"/>
        <v>6172000</v>
      </c>
      <c r="P49" s="600">
        <f t="shared" si="2"/>
        <v>154000</v>
      </c>
    </row>
    <row r="50" spans="1:7" s="602" customFormat="1" ht="12">
      <c r="A50" s="601" t="s">
        <v>642</v>
      </c>
      <c r="G50" s="602" t="s">
        <v>514</v>
      </c>
    </row>
    <row r="51" s="602" customFormat="1" ht="12">
      <c r="A51" s="601" t="s">
        <v>643</v>
      </c>
    </row>
    <row r="52" spans="1:11" s="602" customFormat="1" ht="12">
      <c r="A52" s="603"/>
      <c r="B52" s="548"/>
      <c r="C52" s="548"/>
      <c r="D52" s="548"/>
      <c r="E52" s="548"/>
      <c r="F52" s="548"/>
      <c r="G52" s="548"/>
      <c r="H52" s="548"/>
      <c r="I52" s="548"/>
      <c r="J52" s="548"/>
      <c r="K52" s="548"/>
    </row>
    <row r="53" s="602" customFormat="1" ht="12">
      <c r="A53" s="556"/>
    </row>
    <row r="54" spans="1:12" s="602" customFormat="1" ht="12">
      <c r="A54" s="604"/>
      <c r="B54" s="604"/>
      <c r="C54" s="497"/>
      <c r="D54" s="497"/>
      <c r="E54" s="497"/>
      <c r="F54" s="497"/>
      <c r="H54" s="605"/>
      <c r="I54" s="605"/>
      <c r="J54" s="605"/>
      <c r="K54" s="605"/>
      <c r="L54" s="605"/>
    </row>
    <row r="55" s="607" customFormat="1" ht="11.25">
      <c r="A55" s="606"/>
    </row>
    <row r="58" spans="1:11" s="497" customFormat="1" ht="11.25" customHeight="1">
      <c r="A58" s="608" t="s">
        <v>644</v>
      </c>
      <c r="H58" s="497" t="s">
        <v>645</v>
      </c>
      <c r="K58" s="497" t="s">
        <v>646</v>
      </c>
    </row>
    <row r="59" ht="11.25">
      <c r="A59" s="500"/>
    </row>
    <row r="67" s="461" customFormat="1" ht="11.25">
      <c r="A67" s="506" t="s">
        <v>647</v>
      </c>
    </row>
    <row r="68" ht="11.25">
      <c r="A68" s="609" t="s">
        <v>648</v>
      </c>
    </row>
  </sheetData>
  <printOptions/>
  <pageMargins left="0.25" right="0.25" top="0.6" bottom="0.86" header="0.22" footer="0"/>
  <pageSetup firstPageNumber="31" useFirstPageNumber="1" horizontalDpi="600" verticalDpi="600" orientation="landscape" paperSize="9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/>
  <dimension ref="A1:P69"/>
  <sheetViews>
    <sheetView showGridLines="0" showZeros="0" workbookViewId="0" topLeftCell="B32">
      <selection activeCell="B10" sqref="B10"/>
    </sheetView>
  </sheetViews>
  <sheetFormatPr defaultColWidth="9.140625" defaultRowHeight="12.75"/>
  <cols>
    <col min="1" max="1" width="20.421875" style="562" customWidth="1"/>
    <col min="2" max="2" width="9.7109375" style="453" customWidth="1"/>
    <col min="3" max="3" width="9.57421875" style="453" customWidth="1"/>
    <col min="4" max="4" width="14.8515625" style="453" customWidth="1"/>
    <col min="5" max="9" width="10.57421875" style="453" customWidth="1"/>
    <col min="10" max="10" width="11.8515625" style="453" customWidth="1"/>
    <col min="11" max="12" width="11.00390625" style="453" customWidth="1"/>
    <col min="13" max="16" width="7.140625" style="453" customWidth="1"/>
    <col min="17" max="16384" width="8.00390625" style="453" customWidth="1"/>
  </cols>
  <sheetData>
    <row r="1" spans="1:12" s="461" customFormat="1" ht="12.75">
      <c r="A1" s="452" t="s">
        <v>649</v>
      </c>
      <c r="B1" s="452"/>
      <c r="C1" s="452"/>
      <c r="D1" s="452"/>
      <c r="E1" s="452"/>
      <c r="F1" s="452"/>
      <c r="G1" s="452"/>
      <c r="H1" s="452"/>
      <c r="I1" s="452"/>
      <c r="J1" s="452"/>
      <c r="K1" s="503"/>
      <c r="L1" s="559" t="s">
        <v>650</v>
      </c>
    </row>
    <row r="2" spans="1:12" s="461" customFormat="1" ht="12.75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503"/>
      <c r="L2" s="559"/>
    </row>
    <row r="3" spans="1:12" s="467" customFormat="1" ht="12.75">
      <c r="A3" s="452"/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559"/>
    </row>
    <row r="4" spans="1:16" s="567" customFormat="1" ht="15.75">
      <c r="A4" s="565" t="s">
        <v>651</v>
      </c>
      <c r="B4" s="565"/>
      <c r="C4" s="565"/>
      <c r="D4" s="457"/>
      <c r="E4" s="565"/>
      <c r="F4" s="565"/>
      <c r="G4" s="565"/>
      <c r="H4" s="565"/>
      <c r="I4" s="565"/>
      <c r="J4" s="565"/>
      <c r="K4" s="565"/>
      <c r="L4" s="565"/>
      <c r="M4" s="610"/>
      <c r="N4" s="610"/>
      <c r="O4" s="610"/>
      <c r="P4" s="610"/>
    </row>
    <row r="5" spans="1:16" s="567" customFormat="1" ht="15.75">
      <c r="A5" s="565" t="s">
        <v>516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610"/>
      <c r="N5" s="610"/>
      <c r="O5" s="610"/>
      <c r="P5" s="610"/>
    </row>
    <row r="6" spans="1:16" ht="12.75">
      <c r="A6" s="611"/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</row>
    <row r="7" spans="1:16" s="461" customFormat="1" ht="11.25">
      <c r="A7" s="568"/>
      <c r="B7" s="503"/>
      <c r="C7" s="503"/>
      <c r="D7" s="503"/>
      <c r="E7" s="503"/>
      <c r="F7" s="503"/>
      <c r="G7" s="503"/>
      <c r="H7" s="503"/>
      <c r="I7" s="503"/>
      <c r="J7" s="503"/>
      <c r="K7" s="503" t="s">
        <v>652</v>
      </c>
      <c r="L7" s="503"/>
      <c r="N7" s="503"/>
      <c r="O7" s="503"/>
      <c r="P7" s="503"/>
    </row>
    <row r="8" spans="1:16" s="467" customFormat="1" ht="12.75">
      <c r="A8" s="612"/>
      <c r="B8" s="613"/>
      <c r="C8" s="613"/>
      <c r="D8" s="614"/>
      <c r="E8" s="614"/>
      <c r="F8" s="615" t="s">
        <v>653</v>
      </c>
      <c r="G8" s="575"/>
      <c r="H8" s="575"/>
      <c r="I8" s="616"/>
      <c r="J8" s="575"/>
      <c r="K8" s="575"/>
      <c r="L8" s="617"/>
      <c r="N8" s="452"/>
      <c r="O8" s="452"/>
      <c r="P8" s="452"/>
    </row>
    <row r="9" spans="1:12" s="500" customFormat="1" ht="11.25">
      <c r="A9" s="618"/>
      <c r="B9" s="619"/>
      <c r="C9" s="619"/>
      <c r="D9" s="578"/>
      <c r="E9" s="578"/>
      <c r="F9" s="578"/>
      <c r="G9" s="578"/>
      <c r="H9" s="620" t="s">
        <v>589</v>
      </c>
      <c r="I9" s="621"/>
      <c r="J9" s="578"/>
      <c r="K9" s="578"/>
      <c r="L9" s="622"/>
    </row>
    <row r="10" spans="1:16" ht="45">
      <c r="A10" s="618" t="s">
        <v>654</v>
      </c>
      <c r="B10" s="623" t="s">
        <v>655</v>
      </c>
      <c r="C10" s="623" t="s">
        <v>656</v>
      </c>
      <c r="D10" s="623" t="s">
        <v>657</v>
      </c>
      <c r="E10" s="623" t="s">
        <v>658</v>
      </c>
      <c r="F10" s="623" t="s">
        <v>27</v>
      </c>
      <c r="G10" s="623" t="s">
        <v>659</v>
      </c>
      <c r="H10" s="623" t="s">
        <v>600</v>
      </c>
      <c r="I10" s="623" t="s">
        <v>601</v>
      </c>
      <c r="J10" s="623" t="s">
        <v>36</v>
      </c>
      <c r="K10" s="623" t="s">
        <v>38</v>
      </c>
      <c r="L10" s="624" t="s">
        <v>660</v>
      </c>
      <c r="M10" s="522"/>
      <c r="N10" s="460"/>
      <c r="O10" s="460"/>
      <c r="P10" s="460"/>
    </row>
    <row r="11" spans="1:16" s="461" customFormat="1" ht="11.25">
      <c r="A11" s="625">
        <v>1</v>
      </c>
      <c r="B11" s="626">
        <v>2</v>
      </c>
      <c r="C11" s="626">
        <v>3</v>
      </c>
      <c r="D11" s="626">
        <v>4</v>
      </c>
      <c r="E11" s="626">
        <v>5</v>
      </c>
      <c r="F11" s="626">
        <v>6</v>
      </c>
      <c r="G11" s="626">
        <v>7</v>
      </c>
      <c r="H11" s="626">
        <v>8</v>
      </c>
      <c r="I11" s="626">
        <v>9</v>
      </c>
      <c r="J11" s="626">
        <v>10</v>
      </c>
      <c r="K11" s="626">
        <v>11</v>
      </c>
      <c r="L11" s="627">
        <v>12</v>
      </c>
      <c r="M11" s="506"/>
      <c r="N11" s="503"/>
      <c r="O11" s="503"/>
      <c r="P11" s="503"/>
    </row>
    <row r="12" spans="1:13" ht="12">
      <c r="A12" s="628" t="s">
        <v>605</v>
      </c>
      <c r="B12" s="592">
        <v>9662850</v>
      </c>
      <c r="C12" s="592">
        <v>4396678</v>
      </c>
      <c r="D12" s="592">
        <v>5266172</v>
      </c>
      <c r="E12" s="592">
        <v>-5266172</v>
      </c>
      <c r="F12" s="592">
        <v>0</v>
      </c>
      <c r="G12" s="592">
        <v>-5266172</v>
      </c>
      <c r="H12" s="592">
        <v>4982765</v>
      </c>
      <c r="I12" s="592">
        <v>10248937</v>
      </c>
      <c r="J12" s="592">
        <v>0</v>
      </c>
      <c r="K12" s="592">
        <v>0</v>
      </c>
      <c r="L12" s="596">
        <v>0</v>
      </c>
      <c r="M12" s="629"/>
    </row>
    <row r="13" spans="1:13" ht="12">
      <c r="A13" s="628" t="s">
        <v>606</v>
      </c>
      <c r="B13" s="592">
        <v>425515</v>
      </c>
      <c r="C13" s="592">
        <v>413571</v>
      </c>
      <c r="D13" s="592">
        <v>11944</v>
      </c>
      <c r="E13" s="592">
        <v>-11944</v>
      </c>
      <c r="F13" s="592">
        <v>-25000</v>
      </c>
      <c r="G13" s="592">
        <v>13056</v>
      </c>
      <c r="H13" s="592">
        <v>74146</v>
      </c>
      <c r="I13" s="592">
        <v>61090</v>
      </c>
      <c r="J13" s="592">
        <v>0</v>
      </c>
      <c r="K13" s="592">
        <v>0</v>
      </c>
      <c r="L13" s="596">
        <v>0</v>
      </c>
      <c r="M13" s="629"/>
    </row>
    <row r="14" spans="1:13" ht="12">
      <c r="A14" s="628" t="s">
        <v>607</v>
      </c>
      <c r="B14" s="592">
        <v>239190</v>
      </c>
      <c r="C14" s="592">
        <v>204581</v>
      </c>
      <c r="D14" s="592">
        <v>34609</v>
      </c>
      <c r="E14" s="592">
        <v>-34609</v>
      </c>
      <c r="F14" s="592">
        <v>0</v>
      </c>
      <c r="G14" s="592">
        <v>-34609</v>
      </c>
      <c r="H14" s="592">
        <v>103943</v>
      </c>
      <c r="I14" s="592">
        <v>138552</v>
      </c>
      <c r="J14" s="592">
        <v>0</v>
      </c>
      <c r="K14" s="592">
        <v>0</v>
      </c>
      <c r="L14" s="596">
        <v>0</v>
      </c>
      <c r="M14" s="629">
        <v>0</v>
      </c>
    </row>
    <row r="15" spans="1:13" ht="12">
      <c r="A15" s="628" t="s">
        <v>608</v>
      </c>
      <c r="B15" s="592">
        <v>588102</v>
      </c>
      <c r="C15" s="592">
        <v>612835</v>
      </c>
      <c r="D15" s="592">
        <v>-24733</v>
      </c>
      <c r="E15" s="592">
        <v>24733</v>
      </c>
      <c r="F15" s="592">
        <v>0</v>
      </c>
      <c r="G15" s="592">
        <v>24000</v>
      </c>
      <c r="H15" s="592">
        <v>148982</v>
      </c>
      <c r="I15" s="592">
        <v>124249</v>
      </c>
      <c r="J15" s="592">
        <v>0</v>
      </c>
      <c r="K15" s="592">
        <v>0</v>
      </c>
      <c r="L15" s="596">
        <v>0</v>
      </c>
      <c r="M15" s="629">
        <v>0</v>
      </c>
    </row>
    <row r="16" spans="1:13" ht="12">
      <c r="A16" s="628" t="s">
        <v>609</v>
      </c>
      <c r="B16" s="592">
        <v>449462</v>
      </c>
      <c r="C16" s="592">
        <v>392576</v>
      </c>
      <c r="D16" s="592">
        <v>56886</v>
      </c>
      <c r="E16" s="592">
        <v>-56886</v>
      </c>
      <c r="F16" s="592">
        <v>0</v>
      </c>
      <c r="G16" s="592">
        <v>-56886</v>
      </c>
      <c r="H16" s="592">
        <v>311894</v>
      </c>
      <c r="I16" s="592">
        <v>368780</v>
      </c>
      <c r="J16" s="592">
        <v>0</v>
      </c>
      <c r="K16" s="592">
        <v>0</v>
      </c>
      <c r="L16" s="596">
        <v>0</v>
      </c>
      <c r="M16" s="629">
        <v>0</v>
      </c>
    </row>
    <row r="17" spans="1:13" ht="12">
      <c r="A17" s="628" t="s">
        <v>610</v>
      </c>
      <c r="B17" s="592">
        <v>93211</v>
      </c>
      <c r="C17" s="592">
        <v>102656</v>
      </c>
      <c r="D17" s="592">
        <v>-9445</v>
      </c>
      <c r="E17" s="592">
        <v>9445</v>
      </c>
      <c r="F17" s="592">
        <v>0</v>
      </c>
      <c r="G17" s="592">
        <v>9445</v>
      </c>
      <c r="H17" s="592">
        <v>56674</v>
      </c>
      <c r="I17" s="592">
        <v>47229</v>
      </c>
      <c r="J17" s="592">
        <v>0</v>
      </c>
      <c r="K17" s="592">
        <v>0</v>
      </c>
      <c r="L17" s="596">
        <v>0</v>
      </c>
      <c r="M17" s="629">
        <v>0</v>
      </c>
    </row>
    <row r="18" spans="1:13" ht="12">
      <c r="A18" s="628" t="s">
        <v>611</v>
      </c>
      <c r="B18" s="592">
        <v>1077641</v>
      </c>
      <c r="C18" s="592">
        <v>2646998</v>
      </c>
      <c r="D18" s="592">
        <v>-1569357</v>
      </c>
      <c r="E18" s="592">
        <v>1569357</v>
      </c>
      <c r="F18" s="592">
        <v>1048000</v>
      </c>
      <c r="G18" s="592">
        <v>522044</v>
      </c>
      <c r="H18" s="592">
        <v>1678980</v>
      </c>
      <c r="I18" s="592">
        <v>1156936</v>
      </c>
      <c r="J18" s="592">
        <v>0</v>
      </c>
      <c r="K18" s="592">
        <v>0</v>
      </c>
      <c r="L18" s="596">
        <v>0</v>
      </c>
      <c r="M18" s="607">
        <v>0</v>
      </c>
    </row>
    <row r="19" spans="1:16" s="632" customFormat="1" ht="12.75">
      <c r="A19" s="630" t="s">
        <v>612</v>
      </c>
      <c r="B19" s="592">
        <f aca="true" t="shared" si="0" ref="B19:L19">SUM(B12:B18)</f>
        <v>12536000</v>
      </c>
      <c r="C19" s="592">
        <f t="shared" si="0"/>
        <v>8770000</v>
      </c>
      <c r="D19" s="592">
        <f t="shared" si="0"/>
        <v>3766000</v>
      </c>
      <c r="E19" s="592">
        <f t="shared" si="0"/>
        <v>-3766000</v>
      </c>
      <c r="F19" s="592">
        <f t="shared" si="0"/>
        <v>1023000</v>
      </c>
      <c r="G19" s="592">
        <f t="shared" si="0"/>
        <v>-4789000</v>
      </c>
      <c r="H19" s="592">
        <f t="shared" si="0"/>
        <v>7357000</v>
      </c>
      <c r="I19" s="592">
        <f t="shared" si="0"/>
        <v>12146000</v>
      </c>
      <c r="J19" s="592">
        <f t="shared" si="0"/>
        <v>0</v>
      </c>
      <c r="K19" s="592">
        <f t="shared" si="0"/>
        <v>0</v>
      </c>
      <c r="L19" s="596">
        <f t="shared" si="0"/>
        <v>0</v>
      </c>
      <c r="M19" s="631">
        <v>0</v>
      </c>
      <c r="N19" s="631"/>
      <c r="O19" s="631"/>
      <c r="P19" s="631"/>
    </row>
    <row r="20" spans="1:13" ht="12">
      <c r="A20" s="628" t="s">
        <v>614</v>
      </c>
      <c r="B20" s="592">
        <v>121170</v>
      </c>
      <c r="C20" s="592">
        <v>114282</v>
      </c>
      <c r="D20" s="592">
        <v>6888</v>
      </c>
      <c r="E20" s="592">
        <v>-6888</v>
      </c>
      <c r="F20" s="592">
        <v>1850</v>
      </c>
      <c r="G20" s="592">
        <v>-8738</v>
      </c>
      <c r="H20" s="592">
        <v>114183</v>
      </c>
      <c r="I20" s="592">
        <v>122921</v>
      </c>
      <c r="J20" s="592">
        <v>0</v>
      </c>
      <c r="K20" s="592">
        <v>0</v>
      </c>
      <c r="L20" s="596">
        <v>0</v>
      </c>
      <c r="M20" s="629">
        <v>0</v>
      </c>
    </row>
    <row r="21" spans="1:13" ht="12">
      <c r="A21" s="628" t="s">
        <v>615</v>
      </c>
      <c r="B21" s="592">
        <v>152056</v>
      </c>
      <c r="C21" s="592">
        <v>161271</v>
      </c>
      <c r="D21" s="592">
        <v>-9215</v>
      </c>
      <c r="E21" s="592">
        <v>9215</v>
      </c>
      <c r="F21" s="592">
        <v>-4000</v>
      </c>
      <c r="G21" s="592">
        <v>13215</v>
      </c>
      <c r="H21" s="592">
        <v>150094</v>
      </c>
      <c r="I21" s="592">
        <v>136879</v>
      </c>
      <c r="J21" s="592">
        <v>0</v>
      </c>
      <c r="K21" s="592">
        <v>0</v>
      </c>
      <c r="L21" s="596">
        <v>0</v>
      </c>
      <c r="M21" s="629"/>
    </row>
    <row r="22" spans="1:13" ht="12">
      <c r="A22" s="628" t="s">
        <v>616</v>
      </c>
      <c r="B22" s="592">
        <v>130481</v>
      </c>
      <c r="C22" s="592">
        <v>113875</v>
      </c>
      <c r="D22" s="592">
        <v>16606</v>
      </c>
      <c r="E22" s="592">
        <v>-16606</v>
      </c>
      <c r="F22" s="592">
        <v>-750</v>
      </c>
      <c r="G22" s="592">
        <v>-15856</v>
      </c>
      <c r="H22" s="592">
        <v>71508</v>
      </c>
      <c r="I22" s="592">
        <v>87364</v>
      </c>
      <c r="J22" s="592">
        <v>0</v>
      </c>
      <c r="K22" s="592">
        <v>0</v>
      </c>
      <c r="L22" s="596">
        <v>0</v>
      </c>
      <c r="M22" s="629"/>
    </row>
    <row r="23" spans="1:13" ht="12">
      <c r="A23" s="628" t="s">
        <v>617</v>
      </c>
      <c r="B23" s="592">
        <v>307867</v>
      </c>
      <c r="C23" s="592">
        <v>233981</v>
      </c>
      <c r="D23" s="592">
        <v>73886</v>
      </c>
      <c r="E23" s="592">
        <v>-73886</v>
      </c>
      <c r="F23" s="592">
        <v>0</v>
      </c>
      <c r="G23" s="592">
        <v>-73886</v>
      </c>
      <c r="H23" s="592">
        <v>99663</v>
      </c>
      <c r="I23" s="592">
        <v>173549</v>
      </c>
      <c r="J23" s="592">
        <v>0</v>
      </c>
      <c r="K23" s="592">
        <v>0</v>
      </c>
      <c r="L23" s="596">
        <v>0</v>
      </c>
      <c r="M23" s="629"/>
    </row>
    <row r="24" spans="1:13" ht="12">
      <c r="A24" s="628" t="s">
        <v>618</v>
      </c>
      <c r="B24" s="592">
        <v>259393</v>
      </c>
      <c r="C24" s="592">
        <v>266855</v>
      </c>
      <c r="D24" s="592">
        <v>-7462</v>
      </c>
      <c r="E24" s="592">
        <v>7462</v>
      </c>
      <c r="F24" s="592">
        <v>-800</v>
      </c>
      <c r="G24" s="592">
        <v>9000</v>
      </c>
      <c r="H24" s="592">
        <v>125613</v>
      </c>
      <c r="I24" s="592">
        <v>117351</v>
      </c>
      <c r="J24" s="592">
        <v>0</v>
      </c>
      <c r="K24" s="592">
        <v>0</v>
      </c>
      <c r="L24" s="596">
        <v>0</v>
      </c>
      <c r="M24" s="629"/>
    </row>
    <row r="25" spans="1:13" ht="12">
      <c r="A25" s="628" t="s">
        <v>619</v>
      </c>
      <c r="B25" s="592">
        <v>204830</v>
      </c>
      <c r="C25" s="592">
        <v>214727</v>
      </c>
      <c r="D25" s="592">
        <v>-9897</v>
      </c>
      <c r="E25" s="592">
        <v>9897</v>
      </c>
      <c r="F25" s="592">
        <v>0</v>
      </c>
      <c r="G25" s="592">
        <v>9897</v>
      </c>
      <c r="H25" s="592">
        <v>79454</v>
      </c>
      <c r="I25" s="592">
        <v>69557</v>
      </c>
      <c r="J25" s="592">
        <v>0</v>
      </c>
      <c r="K25" s="592">
        <v>0</v>
      </c>
      <c r="L25" s="596">
        <v>0</v>
      </c>
      <c r="M25" s="629"/>
    </row>
    <row r="26" spans="1:13" ht="12">
      <c r="A26" s="628" t="s">
        <v>620</v>
      </c>
      <c r="B26" s="592">
        <v>257040</v>
      </c>
      <c r="C26" s="592">
        <v>227541</v>
      </c>
      <c r="D26" s="592">
        <v>29499</v>
      </c>
      <c r="E26" s="592">
        <v>-29499</v>
      </c>
      <c r="F26" s="592">
        <v>0</v>
      </c>
      <c r="G26" s="592">
        <v>-29499</v>
      </c>
      <c r="H26" s="592">
        <v>60260</v>
      </c>
      <c r="I26" s="592">
        <v>89759</v>
      </c>
      <c r="J26" s="592">
        <v>0</v>
      </c>
      <c r="K26" s="592">
        <v>0</v>
      </c>
      <c r="L26" s="596">
        <v>0</v>
      </c>
      <c r="M26" s="629"/>
    </row>
    <row r="27" spans="1:13" ht="12">
      <c r="A27" s="628" t="s">
        <v>621</v>
      </c>
      <c r="B27" s="592">
        <v>99181</v>
      </c>
      <c r="C27" s="592">
        <v>99139</v>
      </c>
      <c r="D27" s="592">
        <v>42</v>
      </c>
      <c r="E27" s="592">
        <v>-42</v>
      </c>
      <c r="F27" s="592">
        <v>932</v>
      </c>
      <c r="G27" s="592">
        <v>-974</v>
      </c>
      <c r="H27" s="592">
        <v>68808</v>
      </c>
      <c r="I27" s="592">
        <v>69782</v>
      </c>
      <c r="J27" s="592">
        <v>0</v>
      </c>
      <c r="K27" s="592">
        <v>0</v>
      </c>
      <c r="L27" s="596">
        <v>0</v>
      </c>
      <c r="M27" s="629"/>
    </row>
    <row r="28" spans="1:13" ht="12">
      <c r="A28" s="628" t="s">
        <v>622</v>
      </c>
      <c r="B28" s="592">
        <v>151033</v>
      </c>
      <c r="C28" s="592">
        <v>120489</v>
      </c>
      <c r="D28" s="592">
        <v>30544</v>
      </c>
      <c r="E28" s="592">
        <v>-30544</v>
      </c>
      <c r="F28" s="592">
        <v>0</v>
      </c>
      <c r="G28" s="592">
        <v>-25488</v>
      </c>
      <c r="H28" s="592">
        <v>110754</v>
      </c>
      <c r="I28" s="592">
        <v>136242</v>
      </c>
      <c r="J28" s="592">
        <v>-5056</v>
      </c>
      <c r="K28" s="592">
        <v>0</v>
      </c>
      <c r="L28" s="596">
        <v>0</v>
      </c>
      <c r="M28" s="629"/>
    </row>
    <row r="29" spans="1:13" ht="12">
      <c r="A29" s="628" t="s">
        <v>623</v>
      </c>
      <c r="B29" s="592">
        <v>314868</v>
      </c>
      <c r="C29" s="592">
        <v>212266</v>
      </c>
      <c r="D29" s="592">
        <v>102602</v>
      </c>
      <c r="E29" s="592">
        <v>-102602</v>
      </c>
      <c r="F29" s="592">
        <v>500</v>
      </c>
      <c r="G29" s="592">
        <v>-103102</v>
      </c>
      <c r="H29" s="592">
        <v>101304</v>
      </c>
      <c r="I29" s="592">
        <v>204406</v>
      </c>
      <c r="J29" s="592">
        <v>0</v>
      </c>
      <c r="K29" s="592">
        <v>0</v>
      </c>
      <c r="L29" s="596">
        <v>0</v>
      </c>
      <c r="M29" s="629"/>
    </row>
    <row r="30" spans="1:13" ht="12">
      <c r="A30" s="628" t="s">
        <v>624</v>
      </c>
      <c r="B30" s="592">
        <v>209207</v>
      </c>
      <c r="C30" s="592">
        <v>205485</v>
      </c>
      <c r="D30" s="592">
        <v>3722</v>
      </c>
      <c r="E30" s="592">
        <v>-3722</v>
      </c>
      <c r="F30" s="592">
        <v>22567</v>
      </c>
      <c r="G30" s="592">
        <v>-26289</v>
      </c>
      <c r="H30" s="592">
        <v>100139</v>
      </c>
      <c r="I30" s="592">
        <v>126428</v>
      </c>
      <c r="J30" s="592">
        <v>0</v>
      </c>
      <c r="K30" s="592">
        <v>0</v>
      </c>
      <c r="L30" s="596">
        <v>0</v>
      </c>
      <c r="M30" s="629"/>
    </row>
    <row r="31" spans="1:13" ht="12">
      <c r="A31" s="628" t="s">
        <v>625</v>
      </c>
      <c r="B31" s="592">
        <v>419608</v>
      </c>
      <c r="C31" s="592">
        <v>315584</v>
      </c>
      <c r="D31" s="592">
        <v>104024</v>
      </c>
      <c r="E31" s="592">
        <v>-104024</v>
      </c>
      <c r="F31" s="592">
        <v>-5000</v>
      </c>
      <c r="G31" s="592">
        <v>-99024</v>
      </c>
      <c r="H31" s="592">
        <v>138343</v>
      </c>
      <c r="I31" s="592">
        <v>237367</v>
      </c>
      <c r="J31" s="592">
        <v>0</v>
      </c>
      <c r="K31" s="592">
        <v>0</v>
      </c>
      <c r="L31" s="596">
        <v>0</v>
      </c>
      <c r="M31" s="629"/>
    </row>
    <row r="32" spans="1:13" ht="12">
      <c r="A32" s="628" t="s">
        <v>626</v>
      </c>
      <c r="B32" s="592">
        <v>385489</v>
      </c>
      <c r="C32" s="592">
        <v>306098</v>
      </c>
      <c r="D32" s="592">
        <v>79391</v>
      </c>
      <c r="E32" s="592">
        <v>-79391</v>
      </c>
      <c r="F32" s="592">
        <v>200</v>
      </c>
      <c r="G32" s="592">
        <v>-79591</v>
      </c>
      <c r="H32" s="592">
        <v>147994</v>
      </c>
      <c r="I32" s="592">
        <v>227585</v>
      </c>
      <c r="J32" s="592">
        <v>0</v>
      </c>
      <c r="K32" s="592">
        <v>0</v>
      </c>
      <c r="L32" s="596">
        <v>0</v>
      </c>
      <c r="M32" s="629"/>
    </row>
    <row r="33" spans="1:13" ht="12">
      <c r="A33" s="628" t="s">
        <v>627</v>
      </c>
      <c r="B33" s="592">
        <v>213977</v>
      </c>
      <c r="C33" s="592">
        <v>188932</v>
      </c>
      <c r="D33" s="592">
        <v>25045</v>
      </c>
      <c r="E33" s="592">
        <v>-25045</v>
      </c>
      <c r="F33" s="592">
        <v>400</v>
      </c>
      <c r="G33" s="592">
        <v>-25445</v>
      </c>
      <c r="H33" s="592">
        <v>125828</v>
      </c>
      <c r="I33" s="592">
        <v>151273</v>
      </c>
      <c r="J33" s="592">
        <v>0</v>
      </c>
      <c r="K33" s="592">
        <v>0</v>
      </c>
      <c r="L33" s="596">
        <v>0</v>
      </c>
      <c r="M33" s="629"/>
    </row>
    <row r="34" spans="1:13" ht="12">
      <c r="A34" s="628" t="s">
        <v>628</v>
      </c>
      <c r="B34" s="592">
        <v>151650</v>
      </c>
      <c r="C34" s="592">
        <v>123228</v>
      </c>
      <c r="D34" s="592">
        <v>28422</v>
      </c>
      <c r="E34" s="592">
        <v>-28422</v>
      </c>
      <c r="F34" s="592">
        <v>583</v>
      </c>
      <c r="G34" s="592">
        <v>-29005</v>
      </c>
      <c r="H34" s="592">
        <v>151361</v>
      </c>
      <c r="I34" s="592">
        <v>180366</v>
      </c>
      <c r="J34" s="592">
        <v>0</v>
      </c>
      <c r="K34" s="592">
        <v>0</v>
      </c>
      <c r="L34" s="596">
        <v>0</v>
      </c>
      <c r="M34" s="629"/>
    </row>
    <row r="35" spans="1:13" ht="12">
      <c r="A35" s="628" t="s">
        <v>629</v>
      </c>
      <c r="B35" s="592">
        <v>200392</v>
      </c>
      <c r="C35" s="592">
        <v>184309</v>
      </c>
      <c r="D35" s="592">
        <v>16083</v>
      </c>
      <c r="E35" s="592">
        <v>-16083</v>
      </c>
      <c r="F35" s="592">
        <v>-1250</v>
      </c>
      <c r="G35" s="592">
        <v>-14833</v>
      </c>
      <c r="H35" s="592">
        <v>150132</v>
      </c>
      <c r="I35" s="592">
        <v>164965</v>
      </c>
      <c r="J35" s="592">
        <v>0</v>
      </c>
      <c r="K35" s="592">
        <v>0</v>
      </c>
      <c r="L35" s="596">
        <v>0</v>
      </c>
      <c r="M35" s="629"/>
    </row>
    <row r="36" spans="1:13" ht="12">
      <c r="A36" s="628" t="s">
        <v>630</v>
      </c>
      <c r="B36" s="592">
        <v>247806</v>
      </c>
      <c r="C36" s="592">
        <v>237019</v>
      </c>
      <c r="D36" s="592">
        <v>10787</v>
      </c>
      <c r="E36" s="592">
        <v>-10787</v>
      </c>
      <c r="F36" s="592">
        <v>0</v>
      </c>
      <c r="G36" s="592">
        <v>-17787</v>
      </c>
      <c r="H36" s="592">
        <v>191208</v>
      </c>
      <c r="I36" s="592">
        <v>208995</v>
      </c>
      <c r="J36" s="592">
        <v>0</v>
      </c>
      <c r="K36" s="592">
        <v>7000</v>
      </c>
      <c r="L36" s="596">
        <v>0</v>
      </c>
      <c r="M36" s="629"/>
    </row>
    <row r="37" spans="1:13" ht="12">
      <c r="A37" s="628" t="s">
        <v>631</v>
      </c>
      <c r="B37" s="592">
        <v>313973</v>
      </c>
      <c r="C37" s="592">
        <v>309991</v>
      </c>
      <c r="D37" s="592">
        <v>3982</v>
      </c>
      <c r="E37" s="592">
        <v>-3982</v>
      </c>
      <c r="F37" s="592">
        <v>-1458</v>
      </c>
      <c r="G37" s="592">
        <v>-2524</v>
      </c>
      <c r="H37" s="592">
        <v>75076</v>
      </c>
      <c r="I37" s="592">
        <v>77600</v>
      </c>
      <c r="J37" s="592">
        <v>0</v>
      </c>
      <c r="K37" s="592">
        <v>0</v>
      </c>
      <c r="L37" s="596">
        <v>0</v>
      </c>
      <c r="M37" s="629"/>
    </row>
    <row r="38" spans="1:13" ht="12">
      <c r="A38" s="628" t="s">
        <v>632</v>
      </c>
      <c r="B38" s="592">
        <v>116516</v>
      </c>
      <c r="C38" s="592">
        <v>94748</v>
      </c>
      <c r="D38" s="592">
        <v>21768</v>
      </c>
      <c r="E38" s="592">
        <v>-21768</v>
      </c>
      <c r="F38" s="592">
        <v>0</v>
      </c>
      <c r="G38" s="592">
        <v>-21768</v>
      </c>
      <c r="H38" s="592">
        <v>125828</v>
      </c>
      <c r="I38" s="592">
        <v>147596</v>
      </c>
      <c r="J38" s="592">
        <v>0</v>
      </c>
      <c r="K38" s="592">
        <v>0</v>
      </c>
      <c r="L38" s="596">
        <v>0</v>
      </c>
      <c r="M38" s="629"/>
    </row>
    <row r="39" spans="1:13" ht="12">
      <c r="A39" s="628" t="s">
        <v>633</v>
      </c>
      <c r="B39" s="592">
        <v>662528</v>
      </c>
      <c r="C39" s="592">
        <v>552200</v>
      </c>
      <c r="D39" s="592">
        <v>110328</v>
      </c>
      <c r="E39" s="592">
        <v>-110328</v>
      </c>
      <c r="F39" s="592">
        <v>0</v>
      </c>
      <c r="G39" s="592">
        <v>-110328</v>
      </c>
      <c r="H39" s="592">
        <v>364045</v>
      </c>
      <c r="I39" s="592">
        <v>474373</v>
      </c>
      <c r="J39" s="592">
        <v>0</v>
      </c>
      <c r="K39" s="592">
        <v>0</v>
      </c>
      <c r="L39" s="596">
        <v>0</v>
      </c>
      <c r="M39" s="629"/>
    </row>
    <row r="40" spans="1:13" ht="12">
      <c r="A40" s="628" t="s">
        <v>634</v>
      </c>
      <c r="B40" s="592">
        <v>115969</v>
      </c>
      <c r="C40" s="592">
        <v>153538</v>
      </c>
      <c r="D40" s="592">
        <v>-37569</v>
      </c>
      <c r="E40" s="592">
        <v>37569</v>
      </c>
      <c r="F40" s="592">
        <v>-4600</v>
      </c>
      <c r="G40" s="592">
        <v>42169</v>
      </c>
      <c r="H40" s="592">
        <v>193711</v>
      </c>
      <c r="I40" s="592">
        <v>151542</v>
      </c>
      <c r="J40" s="592">
        <v>0</v>
      </c>
      <c r="K40" s="592">
        <v>0</v>
      </c>
      <c r="L40" s="596">
        <v>0</v>
      </c>
      <c r="M40" s="629"/>
    </row>
    <row r="41" spans="1:13" ht="12">
      <c r="A41" s="628" t="s">
        <v>635</v>
      </c>
      <c r="B41" s="592">
        <v>182159</v>
      </c>
      <c r="C41" s="592">
        <v>166938</v>
      </c>
      <c r="D41" s="592">
        <v>15221</v>
      </c>
      <c r="E41" s="592">
        <v>-15221</v>
      </c>
      <c r="F41" s="592">
        <v>0</v>
      </c>
      <c r="G41" s="592">
        <v>-15221</v>
      </c>
      <c r="H41" s="592">
        <v>180663</v>
      </c>
      <c r="I41" s="592">
        <v>195884</v>
      </c>
      <c r="J41" s="592">
        <v>0</v>
      </c>
      <c r="K41" s="592">
        <v>0</v>
      </c>
      <c r="L41" s="596">
        <v>0</v>
      </c>
      <c r="M41" s="629"/>
    </row>
    <row r="42" spans="1:13" ht="12">
      <c r="A42" s="628" t="s">
        <v>636</v>
      </c>
      <c r="B42" s="592">
        <v>219002</v>
      </c>
      <c r="C42" s="592">
        <v>223112</v>
      </c>
      <c r="D42" s="592">
        <v>-4110</v>
      </c>
      <c r="E42" s="592">
        <v>4110</v>
      </c>
      <c r="F42" s="592">
        <v>0</v>
      </c>
      <c r="G42" s="592">
        <v>4110</v>
      </c>
      <c r="H42" s="592">
        <v>329438</v>
      </c>
      <c r="I42" s="592">
        <v>325328</v>
      </c>
      <c r="J42" s="592">
        <v>0</v>
      </c>
      <c r="K42" s="592">
        <v>0</v>
      </c>
      <c r="L42" s="596">
        <v>0</v>
      </c>
      <c r="M42" s="629"/>
    </row>
    <row r="43" spans="1:13" ht="12">
      <c r="A43" s="628" t="s">
        <v>637</v>
      </c>
      <c r="B43" s="592">
        <v>135045</v>
      </c>
      <c r="C43" s="592">
        <v>101582</v>
      </c>
      <c r="D43" s="592">
        <v>33463</v>
      </c>
      <c r="E43" s="592">
        <v>-33463</v>
      </c>
      <c r="F43" s="592">
        <v>-945</v>
      </c>
      <c r="G43" s="592">
        <v>-32518</v>
      </c>
      <c r="H43" s="592">
        <v>93591</v>
      </c>
      <c r="I43" s="592">
        <v>126109</v>
      </c>
      <c r="J43" s="592">
        <v>0</v>
      </c>
      <c r="K43" s="592">
        <v>0</v>
      </c>
      <c r="L43" s="596">
        <v>0</v>
      </c>
      <c r="M43" s="629"/>
    </row>
    <row r="44" spans="1:13" ht="12">
      <c r="A44" s="628" t="s">
        <v>638</v>
      </c>
      <c r="B44" s="592">
        <v>242012</v>
      </c>
      <c r="C44" s="592">
        <v>165603</v>
      </c>
      <c r="D44" s="592">
        <v>76409</v>
      </c>
      <c r="E44" s="592">
        <v>-76409</v>
      </c>
      <c r="F44" s="592">
        <v>0</v>
      </c>
      <c r="G44" s="592">
        <v>-76466</v>
      </c>
      <c r="H44" s="592">
        <v>158959</v>
      </c>
      <c r="I44" s="592">
        <v>235425</v>
      </c>
      <c r="J44" s="592">
        <v>0</v>
      </c>
      <c r="K44" s="592">
        <v>57</v>
      </c>
      <c r="L44" s="596">
        <v>0</v>
      </c>
      <c r="M44" s="629"/>
    </row>
    <row r="45" spans="1:13" ht="12">
      <c r="A45" s="628" t="s">
        <v>639</v>
      </c>
      <c r="B45" s="592">
        <v>128690</v>
      </c>
      <c r="C45" s="592">
        <v>132598</v>
      </c>
      <c r="D45" s="592">
        <v>-3908</v>
      </c>
      <c r="E45" s="592">
        <v>3908</v>
      </c>
      <c r="F45" s="592">
        <v>0</v>
      </c>
      <c r="G45" s="592">
        <v>3000</v>
      </c>
      <c r="H45" s="592">
        <v>142100</v>
      </c>
      <c r="I45" s="592">
        <v>138192</v>
      </c>
      <c r="J45" s="592">
        <v>0</v>
      </c>
      <c r="K45" s="592">
        <v>0</v>
      </c>
      <c r="L45" s="596">
        <v>0</v>
      </c>
      <c r="M45" s="629"/>
    </row>
    <row r="46" spans="1:12" ht="12.75">
      <c r="A46" s="630" t="s">
        <v>640</v>
      </c>
      <c r="B46" s="592">
        <f aca="true" t="shared" si="1" ref="B46:L46">SUM(B20:B45)</f>
        <v>5942000</v>
      </c>
      <c r="C46" s="592">
        <f t="shared" si="1"/>
        <v>5225000</v>
      </c>
      <c r="D46" s="592">
        <f t="shared" si="1"/>
        <v>717000</v>
      </c>
      <c r="E46" s="592">
        <f t="shared" si="1"/>
        <v>-717000</v>
      </c>
      <c r="F46" s="592">
        <f t="shared" si="1"/>
        <v>8000</v>
      </c>
      <c r="G46" s="592">
        <f t="shared" si="1"/>
        <v>-727000</v>
      </c>
      <c r="H46" s="592">
        <f t="shared" si="1"/>
        <v>3650000</v>
      </c>
      <c r="I46" s="592">
        <f t="shared" si="1"/>
        <v>4377000</v>
      </c>
      <c r="J46" s="592">
        <f t="shared" si="1"/>
        <v>-5000</v>
      </c>
      <c r="K46" s="592">
        <f t="shared" si="1"/>
        <v>7000</v>
      </c>
      <c r="L46" s="596">
        <f t="shared" si="1"/>
        <v>0</v>
      </c>
    </row>
    <row r="47" spans="1:12" ht="12.75">
      <c r="A47" s="633" t="s">
        <v>641</v>
      </c>
      <c r="B47" s="599">
        <f aca="true" t="shared" si="2" ref="B47:L47">SUM(B46,B19)</f>
        <v>18478000</v>
      </c>
      <c r="C47" s="599">
        <f t="shared" si="2"/>
        <v>13995000</v>
      </c>
      <c r="D47" s="599">
        <f t="shared" si="2"/>
        <v>4483000</v>
      </c>
      <c r="E47" s="599">
        <f t="shared" si="2"/>
        <v>-4483000</v>
      </c>
      <c r="F47" s="599">
        <f t="shared" si="2"/>
        <v>1031000</v>
      </c>
      <c r="G47" s="599">
        <f t="shared" si="2"/>
        <v>-5516000</v>
      </c>
      <c r="H47" s="599">
        <f t="shared" si="2"/>
        <v>11007000</v>
      </c>
      <c r="I47" s="599">
        <f t="shared" si="2"/>
        <v>16523000</v>
      </c>
      <c r="J47" s="599">
        <f t="shared" si="2"/>
        <v>-5000</v>
      </c>
      <c r="K47" s="599">
        <f t="shared" si="2"/>
        <v>7000</v>
      </c>
      <c r="L47" s="600">
        <f t="shared" si="2"/>
        <v>0</v>
      </c>
    </row>
    <row r="48" spans="1:12" ht="12.75">
      <c r="A48" s="634"/>
      <c r="B48" s="635"/>
      <c r="C48" s="635"/>
      <c r="D48" s="635"/>
      <c r="E48" s="635"/>
      <c r="F48" s="635"/>
      <c r="G48" s="635"/>
      <c r="H48" s="635"/>
      <c r="I48" s="635"/>
      <c r="J48" s="635"/>
      <c r="K48" s="635"/>
      <c r="L48" s="635"/>
    </row>
    <row r="49" s="602" customFormat="1" ht="12">
      <c r="A49" s="601" t="s">
        <v>661</v>
      </c>
    </row>
    <row r="54" spans="1:11" s="497" customFormat="1" ht="11.25" customHeight="1">
      <c r="A54" s="608" t="s">
        <v>510</v>
      </c>
      <c r="H54" s="497" t="s">
        <v>645</v>
      </c>
      <c r="K54" s="497" t="s">
        <v>511</v>
      </c>
    </row>
    <row r="55" spans="1:16" s="602" customFormat="1" ht="12">
      <c r="A55" s="636"/>
      <c r="B55" s="521"/>
      <c r="C55" s="497"/>
      <c r="D55" s="521"/>
      <c r="E55" s="521"/>
      <c r="F55" s="521"/>
      <c r="G55" s="497"/>
      <c r="H55" s="605"/>
      <c r="I55" s="521"/>
      <c r="J55" s="521"/>
      <c r="K55" s="521"/>
      <c r="L55" s="521"/>
      <c r="M55" s="521"/>
      <c r="N55" s="521"/>
      <c r="O55" s="521"/>
      <c r="P55" s="521"/>
    </row>
    <row r="56" spans="1:8" s="640" customFormat="1" ht="11.25">
      <c r="A56" s="637"/>
      <c r="B56" s="638"/>
      <c r="C56" s="453"/>
      <c r="D56" s="639"/>
      <c r="E56" s="453"/>
      <c r="F56" s="639"/>
      <c r="G56" s="639"/>
      <c r="H56" s="453"/>
    </row>
    <row r="57" spans="1:9" s="607" customFormat="1" ht="12.75">
      <c r="A57" s="556"/>
      <c r="B57" s="641"/>
      <c r="C57" s="453"/>
      <c r="D57" s="642"/>
      <c r="E57" s="642"/>
      <c r="G57" s="643"/>
      <c r="I57" s="602"/>
    </row>
    <row r="58" spans="1:16" s="602" customFormat="1" ht="12">
      <c r="A58" s="636"/>
      <c r="B58" s="521"/>
      <c r="C58" s="497"/>
      <c r="D58" s="521"/>
      <c r="E58" s="521"/>
      <c r="F58" s="521"/>
      <c r="G58" s="497"/>
      <c r="H58" s="605"/>
      <c r="I58" s="521"/>
      <c r="J58" s="521"/>
      <c r="K58" s="521"/>
      <c r="L58" s="521"/>
      <c r="M58" s="521"/>
      <c r="N58" s="521"/>
      <c r="O58" s="521"/>
      <c r="P58" s="521"/>
    </row>
    <row r="59" s="607" customFormat="1" ht="11.25">
      <c r="A59" s="606"/>
    </row>
    <row r="60" spans="1:6" s="607" customFormat="1" ht="11.25">
      <c r="A60" s="606"/>
      <c r="B60" s="453"/>
      <c r="C60" s="453"/>
      <c r="D60" s="453"/>
      <c r="E60" s="453"/>
      <c r="F60" s="453"/>
    </row>
    <row r="67" ht="11.25">
      <c r="A67" s="506" t="s">
        <v>647</v>
      </c>
    </row>
    <row r="68" s="506" customFormat="1" ht="11.25">
      <c r="A68" s="609" t="s">
        <v>662</v>
      </c>
    </row>
    <row r="69" ht="11.25">
      <c r="A69" s="609"/>
    </row>
  </sheetData>
  <printOptions/>
  <pageMargins left="0.7" right="0.2362204724409449" top="0.78" bottom="0.75" header="0.18" footer="0"/>
  <pageSetup firstPageNumber="33" useFirstPageNumber="1"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C86"/>
  <sheetViews>
    <sheetView workbookViewId="0" topLeftCell="F76">
      <selection activeCell="F85" sqref="F85"/>
    </sheetView>
  </sheetViews>
  <sheetFormatPr defaultColWidth="9.140625" defaultRowHeight="12.75"/>
  <cols>
    <col min="1" max="1" width="47.421875" style="43" hidden="1" customWidth="1"/>
    <col min="2" max="2" width="13.28125" style="44" hidden="1" customWidth="1"/>
    <col min="3" max="3" width="12.7109375" style="43" hidden="1" customWidth="1"/>
    <col min="4" max="4" width="7.57421875" style="43" hidden="1" customWidth="1"/>
    <col min="5" max="5" width="10.421875" style="43" hidden="1" customWidth="1"/>
    <col min="6" max="6" width="50.00390625" style="0" customWidth="1"/>
    <col min="7" max="7" width="10.7109375" style="0" customWidth="1"/>
    <col min="8" max="8" width="10.57421875" style="0" customWidth="1"/>
    <col min="9" max="9" width="9.00390625" style="0" customWidth="1"/>
    <col min="10" max="10" width="9.421875" style="0" customWidth="1"/>
    <col min="212" max="16384" width="9.140625" style="43" customWidth="1"/>
  </cols>
  <sheetData>
    <row r="1" spans="5:10" ht="12.75">
      <c r="E1" s="43" t="s">
        <v>44</v>
      </c>
      <c r="F1" s="43"/>
      <c r="G1" s="44"/>
      <c r="H1" s="43"/>
      <c r="I1" s="43"/>
      <c r="J1" s="43" t="s">
        <v>44</v>
      </c>
    </row>
    <row r="2" spans="1:10" ht="18" customHeight="1">
      <c r="A2" s="32" t="s">
        <v>45</v>
      </c>
      <c r="B2" s="45"/>
      <c r="C2" s="32"/>
      <c r="D2" s="32"/>
      <c r="E2" s="32"/>
      <c r="F2" s="32" t="s">
        <v>45</v>
      </c>
      <c r="G2" s="45"/>
      <c r="H2" s="32"/>
      <c r="I2" s="32"/>
      <c r="J2" s="32"/>
    </row>
    <row r="3" spans="6:10" ht="20.25" customHeight="1">
      <c r="F3" s="43"/>
      <c r="G3" s="44"/>
      <c r="H3" s="43"/>
      <c r="I3" s="43"/>
      <c r="J3" s="43"/>
    </row>
    <row r="4" spans="1:10" ht="18.75" customHeight="1">
      <c r="A4" s="445" t="s">
        <v>46</v>
      </c>
      <c r="B4" s="445"/>
      <c r="C4" s="445"/>
      <c r="D4" s="445"/>
      <c r="E4" s="445"/>
      <c r="F4" s="445" t="s">
        <v>47</v>
      </c>
      <c r="G4" s="445"/>
      <c r="H4" s="445"/>
      <c r="I4" s="445"/>
      <c r="J4" s="445"/>
    </row>
    <row r="5" spans="1:10" ht="18.75" customHeight="1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15.75" customHeight="1">
      <c r="A6" s="47"/>
      <c r="B6" s="45"/>
      <c r="C6" s="32"/>
      <c r="D6" s="39"/>
      <c r="E6" s="39"/>
      <c r="F6" s="47"/>
      <c r="G6" s="45"/>
      <c r="H6" s="32"/>
      <c r="I6" s="39"/>
      <c r="J6" s="39" t="s">
        <v>48</v>
      </c>
    </row>
    <row r="7" spans="1:10" ht="45">
      <c r="A7" s="5" t="s">
        <v>2</v>
      </c>
      <c r="B7" s="48" t="s">
        <v>49</v>
      </c>
      <c r="C7" s="5" t="s">
        <v>50</v>
      </c>
      <c r="D7" s="5" t="s">
        <v>51</v>
      </c>
      <c r="E7" s="5" t="s">
        <v>52</v>
      </c>
      <c r="F7" s="5" t="s">
        <v>2</v>
      </c>
      <c r="G7" s="48" t="s">
        <v>49</v>
      </c>
      <c r="H7" s="5" t="s">
        <v>50</v>
      </c>
      <c r="I7" s="5" t="s">
        <v>51</v>
      </c>
      <c r="J7" s="5" t="s">
        <v>53</v>
      </c>
    </row>
    <row r="8" spans="1:10" ht="12.75">
      <c r="A8" s="5">
        <v>1</v>
      </c>
      <c r="B8" s="48">
        <v>2</v>
      </c>
      <c r="C8" s="5">
        <v>3</v>
      </c>
      <c r="D8" s="5">
        <v>4</v>
      </c>
      <c r="E8" s="5">
        <v>5</v>
      </c>
      <c r="F8" s="5">
        <v>1</v>
      </c>
      <c r="G8" s="48">
        <v>2</v>
      </c>
      <c r="H8" s="5">
        <v>3</v>
      </c>
      <c r="I8" s="5">
        <v>4</v>
      </c>
      <c r="J8" s="5">
        <v>5</v>
      </c>
    </row>
    <row r="9" spans="1:10" ht="25.5" customHeight="1">
      <c r="A9" s="26" t="s">
        <v>54</v>
      </c>
      <c r="B9" s="49">
        <f>SUM(B23,B32)</f>
        <v>1373743104</v>
      </c>
      <c r="C9" s="49">
        <f>SUM(C23,C32)</f>
        <v>0</v>
      </c>
      <c r="D9" s="50">
        <f>IF(ISERROR(C9/B9)," ",(C9/B9))</f>
        <v>0</v>
      </c>
      <c r="E9" s="49">
        <f>C9</f>
        <v>0</v>
      </c>
      <c r="F9" s="26" t="s">
        <v>54</v>
      </c>
      <c r="G9" s="51">
        <f>SUM(G23,G32)</f>
        <v>1373743</v>
      </c>
      <c r="H9" s="51">
        <f>SUM(H23,H32)</f>
        <v>424006</v>
      </c>
      <c r="I9" s="52">
        <f>IF(ISERROR(H9/G9)," ",(H9/G9))</f>
        <v>0.3086501623666144</v>
      </c>
      <c r="J9" s="51">
        <f>H9-'[2]Marts'!H9</f>
        <v>108372</v>
      </c>
    </row>
    <row r="10" spans="1:10" ht="25.5" customHeight="1">
      <c r="A10" s="53" t="s">
        <v>55</v>
      </c>
      <c r="B10" s="49">
        <f>SUM(B11,B19,B20,B21)</f>
        <v>737531269</v>
      </c>
      <c r="C10" s="49">
        <f>SUM(C11,C19,C20)</f>
        <v>0</v>
      </c>
      <c r="D10" s="50">
        <f aca="true" t="shared" si="0" ref="D10:D69">IF(ISERROR(C10/B10)," ",(C10/B10))</f>
        <v>0</v>
      </c>
      <c r="E10" s="49">
        <f aca="true" t="shared" si="1" ref="E10:E69">C10</f>
        <v>0</v>
      </c>
      <c r="F10" s="53" t="s">
        <v>55</v>
      </c>
      <c r="G10" s="51">
        <f>SUM(G11,G19,G20,G21)</f>
        <v>737531</v>
      </c>
      <c r="H10" s="51">
        <f>SUM(H11,H19,H20,H21)</f>
        <v>231157</v>
      </c>
      <c r="I10" s="52">
        <f aca="true" t="shared" si="2" ref="I10:I69">IF(ISERROR(H10/G10)," ",(H10/G10))</f>
        <v>0.3134200460726397</v>
      </c>
      <c r="J10" s="51">
        <f>H10-'[2]Marts'!H10</f>
        <v>60659</v>
      </c>
    </row>
    <row r="11" spans="1:10" ht="19.5" customHeight="1">
      <c r="A11" s="54" t="s">
        <v>56</v>
      </c>
      <c r="B11" s="55">
        <f>SUM(B12,B14,B18)</f>
        <v>587500000</v>
      </c>
      <c r="C11" s="55">
        <f>SUM(C12,C14,C18)</f>
        <v>0</v>
      </c>
      <c r="D11" s="56">
        <f t="shared" si="0"/>
        <v>0</v>
      </c>
      <c r="E11" s="49">
        <f t="shared" si="1"/>
        <v>0</v>
      </c>
      <c r="F11" s="54" t="s">
        <v>56</v>
      </c>
      <c r="G11" s="57">
        <f>SUM(G12,G14,G18)</f>
        <v>587500</v>
      </c>
      <c r="H11" s="57">
        <f>SUM(H12,H14,H18)</f>
        <v>181243</v>
      </c>
      <c r="I11" s="58">
        <f t="shared" si="2"/>
        <v>0.3084987234042553</v>
      </c>
      <c r="J11" s="57">
        <f>H11-'[2]Marts'!H11</f>
        <v>47752</v>
      </c>
    </row>
    <row r="12" spans="1:10" ht="15.75" customHeight="1">
      <c r="A12" s="59" t="s">
        <v>57</v>
      </c>
      <c r="B12" s="55">
        <f>SUM(B13)</f>
        <v>95100000</v>
      </c>
      <c r="C12" s="55">
        <f>SUM(C13)</f>
        <v>0</v>
      </c>
      <c r="D12" s="56">
        <f t="shared" si="0"/>
        <v>0</v>
      </c>
      <c r="E12" s="49">
        <f t="shared" si="1"/>
        <v>0</v>
      </c>
      <c r="F12" s="59" t="s">
        <v>57</v>
      </c>
      <c r="G12" s="55">
        <f>SUM(G13)</f>
        <v>95100</v>
      </c>
      <c r="H12" s="55">
        <f>SUM(H13)</f>
        <v>29701</v>
      </c>
      <c r="I12" s="60">
        <f t="shared" si="2"/>
        <v>0.31231335436382757</v>
      </c>
      <c r="J12" s="55">
        <f>H12-'[2]Marts'!H12</f>
        <v>7605</v>
      </c>
    </row>
    <row r="13" spans="1:10" ht="15.75" customHeight="1">
      <c r="A13" s="61" t="s">
        <v>58</v>
      </c>
      <c r="B13" s="55">
        <v>95100000</v>
      </c>
      <c r="C13" s="55"/>
      <c r="D13" s="56">
        <f t="shared" si="0"/>
        <v>0</v>
      </c>
      <c r="E13" s="49">
        <f t="shared" si="1"/>
        <v>0</v>
      </c>
      <c r="F13" s="61" t="s">
        <v>58</v>
      </c>
      <c r="G13" s="57">
        <f>ROUND(B13/1000,0)</f>
        <v>95100</v>
      </c>
      <c r="H13" s="57">
        <v>29701</v>
      </c>
      <c r="I13" s="58">
        <f t="shared" si="2"/>
        <v>0.31231335436382757</v>
      </c>
      <c r="J13" s="57">
        <f>H13-'[2]Marts'!H13</f>
        <v>7605</v>
      </c>
    </row>
    <row r="14" spans="1:10" ht="16.5" customHeight="1">
      <c r="A14" s="59" t="s">
        <v>59</v>
      </c>
      <c r="B14" s="55">
        <f>SUM(B15:B17)</f>
        <v>492400000</v>
      </c>
      <c r="C14" s="55">
        <f>SUM(C15:C17)</f>
        <v>0</v>
      </c>
      <c r="D14" s="56">
        <f t="shared" si="0"/>
        <v>0</v>
      </c>
      <c r="E14" s="49">
        <f t="shared" si="1"/>
        <v>0</v>
      </c>
      <c r="F14" s="59" t="s">
        <v>59</v>
      </c>
      <c r="G14" s="55">
        <f>SUM(G15:G17)</f>
        <v>492400</v>
      </c>
      <c r="H14" s="55">
        <f>SUM(H15:H17)</f>
        <v>147276</v>
      </c>
      <c r="I14" s="60">
        <f t="shared" si="2"/>
        <v>0.2990982940698619</v>
      </c>
      <c r="J14" s="55">
        <f>H14-'[2]Marts'!H14</f>
        <v>40144</v>
      </c>
    </row>
    <row r="15" spans="1:10" ht="17.25" customHeight="1">
      <c r="A15" s="62" t="s">
        <v>60</v>
      </c>
      <c r="B15" s="55">
        <v>346096000</v>
      </c>
      <c r="C15" s="55"/>
      <c r="D15" s="56">
        <f t="shared" si="0"/>
        <v>0</v>
      </c>
      <c r="E15" s="49">
        <f t="shared" si="1"/>
        <v>0</v>
      </c>
      <c r="F15" s="62" t="s">
        <v>60</v>
      </c>
      <c r="G15" s="57">
        <f aca="true" t="shared" si="3" ref="G15:G22">ROUND(B15/1000,0)</f>
        <v>346096</v>
      </c>
      <c r="H15" s="57">
        <v>106979</v>
      </c>
      <c r="I15" s="58">
        <f t="shared" si="2"/>
        <v>0.3091020988396283</v>
      </c>
      <c r="J15" s="57">
        <f>H15-'[2]Marts'!H15</f>
        <v>29021</v>
      </c>
    </row>
    <row r="16" spans="1:10" ht="17.25" customHeight="1">
      <c r="A16" s="61" t="s">
        <v>61</v>
      </c>
      <c r="B16" s="55">
        <v>133504000</v>
      </c>
      <c r="C16" s="55"/>
      <c r="D16" s="56">
        <f t="shared" si="0"/>
        <v>0</v>
      </c>
      <c r="E16" s="49">
        <f t="shared" si="1"/>
        <v>0</v>
      </c>
      <c r="F16" s="61" t="s">
        <v>61</v>
      </c>
      <c r="G16" s="57">
        <f t="shared" si="3"/>
        <v>133504</v>
      </c>
      <c r="H16" s="57">
        <v>35732</v>
      </c>
      <c r="I16" s="58">
        <f t="shared" si="2"/>
        <v>0.2676474113135187</v>
      </c>
      <c r="J16" s="57">
        <f>H16-'[2]Marts'!H16</f>
        <v>9886</v>
      </c>
    </row>
    <row r="17" spans="1:10" ht="16.5" customHeight="1">
      <c r="A17" s="61" t="s">
        <v>62</v>
      </c>
      <c r="B17" s="55">
        <v>12800000</v>
      </c>
      <c r="C17" s="55"/>
      <c r="D17" s="56">
        <f t="shared" si="0"/>
        <v>0</v>
      </c>
      <c r="E17" s="49">
        <f t="shared" si="1"/>
        <v>0</v>
      </c>
      <c r="F17" s="61" t="s">
        <v>62</v>
      </c>
      <c r="G17" s="57">
        <f t="shared" si="3"/>
        <v>12800</v>
      </c>
      <c r="H17" s="57">
        <v>4565</v>
      </c>
      <c r="I17" s="58">
        <f t="shared" si="2"/>
        <v>0.356640625</v>
      </c>
      <c r="J17" s="57">
        <f>H17-'[2]Marts'!H17</f>
        <v>1237</v>
      </c>
    </row>
    <row r="18" spans="1:10" ht="12.75">
      <c r="A18" s="59" t="s">
        <v>63</v>
      </c>
      <c r="B18" s="55"/>
      <c r="C18" s="55"/>
      <c r="D18" s="56" t="str">
        <f t="shared" si="0"/>
        <v> </v>
      </c>
      <c r="E18" s="49">
        <f t="shared" si="1"/>
        <v>0</v>
      </c>
      <c r="F18" s="59" t="s">
        <v>63</v>
      </c>
      <c r="G18" s="55">
        <f t="shared" si="3"/>
        <v>0</v>
      </c>
      <c r="H18" s="55">
        <v>4266</v>
      </c>
      <c r="I18" s="60" t="str">
        <f t="shared" si="2"/>
        <v> </v>
      </c>
      <c r="J18" s="55">
        <f>H18-'[2]Marts'!H18</f>
        <v>3</v>
      </c>
    </row>
    <row r="19" spans="1:10" ht="13.5" customHeight="1">
      <c r="A19" s="54" t="s">
        <v>64</v>
      </c>
      <c r="B19" s="55">
        <v>59128087</v>
      </c>
      <c r="C19" s="55"/>
      <c r="D19" s="56">
        <f t="shared" si="0"/>
        <v>0</v>
      </c>
      <c r="E19" s="49">
        <f t="shared" si="1"/>
        <v>0</v>
      </c>
      <c r="F19" s="54" t="s">
        <v>64</v>
      </c>
      <c r="G19" s="57">
        <f t="shared" si="3"/>
        <v>59128</v>
      </c>
      <c r="H19" s="57">
        <v>19583</v>
      </c>
      <c r="I19" s="58">
        <f t="shared" si="2"/>
        <v>0.3311967257475308</v>
      </c>
      <c r="J19" s="57">
        <f>H19-'[2]Marts'!H19</f>
        <v>6629</v>
      </c>
    </row>
    <row r="20" spans="1:10" ht="13.5" customHeight="1">
      <c r="A20" s="63" t="s">
        <v>65</v>
      </c>
      <c r="B20" s="55">
        <v>59260125</v>
      </c>
      <c r="C20" s="55"/>
      <c r="D20" s="56">
        <f t="shared" si="0"/>
        <v>0</v>
      </c>
      <c r="E20" s="49">
        <f t="shared" si="1"/>
        <v>0</v>
      </c>
      <c r="F20" s="63" t="s">
        <v>65</v>
      </c>
      <c r="G20" s="57">
        <f t="shared" si="3"/>
        <v>59260</v>
      </c>
      <c r="H20" s="57">
        <v>17786</v>
      </c>
      <c r="I20" s="58">
        <f t="shared" si="2"/>
        <v>0.3001349983125211</v>
      </c>
      <c r="J20" s="57">
        <f>H20-'[2]Marts'!H20</f>
        <v>4186</v>
      </c>
    </row>
    <row r="21" spans="1:10" ht="13.5" customHeight="1">
      <c r="A21" s="63" t="s">
        <v>66</v>
      </c>
      <c r="B21" s="55">
        <v>31643057</v>
      </c>
      <c r="C21" s="55"/>
      <c r="D21" s="56"/>
      <c r="E21" s="49"/>
      <c r="F21" s="63" t="s">
        <v>66</v>
      </c>
      <c r="G21" s="57">
        <f t="shared" si="3"/>
        <v>31643</v>
      </c>
      <c r="H21" s="57">
        <v>12545</v>
      </c>
      <c r="I21" s="58">
        <f t="shared" si="2"/>
        <v>0.39645419208039695</v>
      </c>
      <c r="J21" s="57">
        <f>H21-'[2]Marts'!H21</f>
        <v>2092</v>
      </c>
    </row>
    <row r="22" spans="1:10" ht="12.75" customHeight="1">
      <c r="A22" s="64" t="s">
        <v>67</v>
      </c>
      <c r="B22" s="55">
        <v>1201200</v>
      </c>
      <c r="C22" s="55"/>
      <c r="D22" s="56">
        <f t="shared" si="0"/>
        <v>0</v>
      </c>
      <c r="E22" s="49">
        <f t="shared" si="1"/>
        <v>0</v>
      </c>
      <c r="F22" s="64" t="s">
        <v>67</v>
      </c>
      <c r="G22" s="65">
        <f t="shared" si="3"/>
        <v>1201</v>
      </c>
      <c r="H22" s="66">
        <v>400</v>
      </c>
      <c r="I22" s="67">
        <f t="shared" si="2"/>
        <v>0.33305578684429643</v>
      </c>
      <c r="J22" s="65">
        <f>H22-'[2]Marts'!H22</f>
        <v>200</v>
      </c>
    </row>
    <row r="23" spans="1:10" ht="19.5" customHeight="1">
      <c r="A23" s="53" t="s">
        <v>68</v>
      </c>
      <c r="B23" s="49">
        <f>SUM(B10-B22)</f>
        <v>736330069</v>
      </c>
      <c r="C23" s="49">
        <f>SUM(C10-C22)</f>
        <v>0</v>
      </c>
      <c r="D23" s="50">
        <f t="shared" si="0"/>
        <v>0</v>
      </c>
      <c r="E23" s="49">
        <f t="shared" si="1"/>
        <v>0</v>
      </c>
      <c r="F23" s="53" t="s">
        <v>68</v>
      </c>
      <c r="G23" s="51">
        <f>SUM(G10-G22)</f>
        <v>736330</v>
      </c>
      <c r="H23" s="51">
        <f>SUM(H10-H22)</f>
        <v>230757</v>
      </c>
      <c r="I23" s="52">
        <f t="shared" si="2"/>
        <v>0.31338801895889074</v>
      </c>
      <c r="J23" s="51">
        <f>H23-'[2]Marts'!H23</f>
        <v>60459</v>
      </c>
    </row>
    <row r="24" spans="1:10" ht="20.25" customHeight="1">
      <c r="A24" s="68" t="s">
        <v>69</v>
      </c>
      <c r="B24" s="49">
        <f>SUM(B25)</f>
        <v>699762222</v>
      </c>
      <c r="C24" s="49">
        <f>SUM(C25)</f>
        <v>0</v>
      </c>
      <c r="D24" s="50">
        <f t="shared" si="0"/>
        <v>0</v>
      </c>
      <c r="E24" s="49">
        <f t="shared" si="1"/>
        <v>0</v>
      </c>
      <c r="F24" s="68" t="s">
        <v>69</v>
      </c>
      <c r="G24" s="51">
        <f>SUM(G25)</f>
        <v>699762</v>
      </c>
      <c r="H24" s="51">
        <f>SUM(H25)</f>
        <v>215050</v>
      </c>
      <c r="I24" s="52">
        <f t="shared" si="2"/>
        <v>0.3073187740974789</v>
      </c>
      <c r="J24" s="51">
        <f>H24-'[2]Marts'!H24</f>
        <v>55149</v>
      </c>
    </row>
    <row r="25" spans="1:10" ht="12.75">
      <c r="A25" s="54" t="s">
        <v>70</v>
      </c>
      <c r="B25" s="55">
        <f>SUM(B26:B30)</f>
        <v>699762222</v>
      </c>
      <c r="C25" s="55">
        <f>SUM(C26:C30)</f>
        <v>0</v>
      </c>
      <c r="D25" s="56">
        <f t="shared" si="0"/>
        <v>0</v>
      </c>
      <c r="E25" s="49">
        <f t="shared" si="1"/>
        <v>0</v>
      </c>
      <c r="F25" s="54" t="s">
        <v>70</v>
      </c>
      <c r="G25" s="57">
        <f>SUM(G26:G30)</f>
        <v>699762</v>
      </c>
      <c r="H25" s="57">
        <f>SUM(H26:H30)</f>
        <v>215050</v>
      </c>
      <c r="I25" s="58">
        <f t="shared" si="2"/>
        <v>0.3073187740974789</v>
      </c>
      <c r="J25" s="57">
        <f>H25-'[2]Marts'!H25</f>
        <v>55149</v>
      </c>
    </row>
    <row r="26" spans="1:211" s="2" customFormat="1" ht="12.75">
      <c r="A26" s="61" t="s">
        <v>71</v>
      </c>
      <c r="B26" s="55">
        <v>473580496</v>
      </c>
      <c r="C26" s="55"/>
      <c r="D26" s="56">
        <f t="shared" si="0"/>
        <v>0</v>
      </c>
      <c r="E26" s="49">
        <f t="shared" si="1"/>
        <v>0</v>
      </c>
      <c r="F26" s="61" t="s">
        <v>71</v>
      </c>
      <c r="G26" s="57">
        <f>ROUND(B26/1000,0)+1</f>
        <v>473581</v>
      </c>
      <c r="H26" s="57">
        <v>145310</v>
      </c>
      <c r="I26" s="58">
        <f t="shared" si="2"/>
        <v>0.3068324109286479</v>
      </c>
      <c r="J26" s="57">
        <f>H26-'[2]Marts'!H26</f>
        <v>35262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</row>
    <row r="27" spans="1:211" s="2" customFormat="1" ht="12.75">
      <c r="A27" s="69" t="s">
        <v>72</v>
      </c>
      <c r="B27" s="55">
        <v>56546000</v>
      </c>
      <c r="C27" s="55"/>
      <c r="D27" s="56">
        <f t="shared" si="0"/>
        <v>0</v>
      </c>
      <c r="E27" s="49">
        <f t="shared" si="1"/>
        <v>0</v>
      </c>
      <c r="F27" s="69" t="s">
        <v>72</v>
      </c>
      <c r="G27" s="57">
        <f>ROUND(B27/1000,0)</f>
        <v>56546</v>
      </c>
      <c r="H27" s="57">
        <f>12985+159+597</f>
        <v>13741</v>
      </c>
      <c r="I27" s="58">
        <f t="shared" si="2"/>
        <v>0.24300569447883139</v>
      </c>
      <c r="J27" s="57">
        <f>H27-'[2]Marts'!H27</f>
        <v>3610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</row>
    <row r="28" spans="1:211" s="2" customFormat="1" ht="12.75">
      <c r="A28" s="69" t="s">
        <v>73</v>
      </c>
      <c r="B28" s="55">
        <v>74152400</v>
      </c>
      <c r="C28" s="55"/>
      <c r="D28" s="56">
        <f t="shared" si="0"/>
        <v>0</v>
      </c>
      <c r="E28" s="49">
        <f t="shared" si="1"/>
        <v>0</v>
      </c>
      <c r="F28" s="69" t="s">
        <v>73</v>
      </c>
      <c r="G28" s="57">
        <f>ROUND(B28/1000,0)</f>
        <v>74152</v>
      </c>
      <c r="H28" s="57">
        <v>22406</v>
      </c>
      <c r="I28" s="58">
        <f t="shared" si="2"/>
        <v>0.3021631243931384</v>
      </c>
      <c r="J28" s="57">
        <f>H28-'[2]Marts'!H28</f>
        <v>5586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</row>
    <row r="29" spans="1:211" s="2" customFormat="1" ht="12.75">
      <c r="A29" s="63" t="s">
        <v>74</v>
      </c>
      <c r="B29" s="55">
        <v>3371252</v>
      </c>
      <c r="C29" s="55"/>
      <c r="D29" s="56">
        <f t="shared" si="0"/>
        <v>0</v>
      </c>
      <c r="E29" s="49">
        <f t="shared" si="1"/>
        <v>0</v>
      </c>
      <c r="F29" s="63" t="s">
        <v>74</v>
      </c>
      <c r="G29" s="57">
        <f>ROUND(B29/1000,0)</f>
        <v>3371</v>
      </c>
      <c r="H29" s="57">
        <v>190</v>
      </c>
      <c r="I29" s="58">
        <f t="shared" si="2"/>
        <v>0.05636309700385642</v>
      </c>
      <c r="J29" s="57">
        <f>H29-'[2]Marts'!H29</f>
        <v>35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</row>
    <row r="30" spans="1:211" s="2" customFormat="1" ht="12.75">
      <c r="A30" s="61" t="s">
        <v>75</v>
      </c>
      <c r="B30" s="55">
        <v>92112074</v>
      </c>
      <c r="C30" s="55"/>
      <c r="D30" s="56">
        <f t="shared" si="0"/>
        <v>0</v>
      </c>
      <c r="E30" s="49">
        <f t="shared" si="1"/>
        <v>0</v>
      </c>
      <c r="F30" s="61" t="s">
        <v>75</v>
      </c>
      <c r="G30" s="57">
        <f>ROUND(B30/1000,0)</f>
        <v>92112</v>
      </c>
      <c r="H30" s="57">
        <v>33403</v>
      </c>
      <c r="I30" s="58">
        <f t="shared" si="2"/>
        <v>0.3626346187250304</v>
      </c>
      <c r="J30" s="57">
        <f>H30-'[2]Marts'!H30</f>
        <v>10656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</row>
    <row r="31" spans="1:211" s="2" customFormat="1" ht="12.75">
      <c r="A31" s="70" t="s">
        <v>76</v>
      </c>
      <c r="B31" s="55">
        <v>62349187</v>
      </c>
      <c r="C31" s="55"/>
      <c r="D31" s="56">
        <f t="shared" si="0"/>
        <v>0</v>
      </c>
      <c r="E31" s="49">
        <f t="shared" si="1"/>
        <v>0</v>
      </c>
      <c r="F31" s="70" t="s">
        <v>76</v>
      </c>
      <c r="G31" s="65">
        <f>ROUND(B31/1000,0)</f>
        <v>62349</v>
      </c>
      <c r="H31" s="55">
        <f>777+411+18661+1952</f>
        <v>21801</v>
      </c>
      <c r="I31" s="67">
        <f t="shared" si="2"/>
        <v>0.3496607804455565</v>
      </c>
      <c r="J31" s="65">
        <f>H31-'[2]Marts'!H31</f>
        <v>7236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</row>
    <row r="32" spans="1:10" ht="22.5" customHeight="1">
      <c r="A32" s="53" t="s">
        <v>77</v>
      </c>
      <c r="B32" s="49">
        <f>SUM(B24-B31)</f>
        <v>637413035</v>
      </c>
      <c r="C32" s="49">
        <f>SUM(C24-C31)</f>
        <v>0</v>
      </c>
      <c r="D32" s="50">
        <f t="shared" si="0"/>
        <v>0</v>
      </c>
      <c r="E32" s="49">
        <f t="shared" si="1"/>
        <v>0</v>
      </c>
      <c r="F32" s="53" t="s">
        <v>77</v>
      </c>
      <c r="G32" s="51">
        <f>SUM(G24-G31)</f>
        <v>637413</v>
      </c>
      <c r="H32" s="51">
        <f>SUM(H24-H31)</f>
        <v>193249</v>
      </c>
      <c r="I32" s="52">
        <f t="shared" si="2"/>
        <v>0.30317706102636754</v>
      </c>
      <c r="J32" s="51">
        <f>H32-'[2]Marts'!H32</f>
        <v>47913</v>
      </c>
    </row>
    <row r="33" spans="1:10" ht="29.25" customHeight="1">
      <c r="A33" s="71" t="s">
        <v>78</v>
      </c>
      <c r="B33" s="49">
        <f>SUM(B34:B36)</f>
        <v>1439743280</v>
      </c>
      <c r="C33" s="49">
        <f>SUM(C34:C36)</f>
        <v>0</v>
      </c>
      <c r="D33" s="50">
        <f t="shared" si="0"/>
        <v>0</v>
      </c>
      <c r="E33" s="49">
        <f t="shared" si="1"/>
        <v>0</v>
      </c>
      <c r="F33" s="71" t="s">
        <v>78</v>
      </c>
      <c r="G33" s="51">
        <f>SUM(G34:G36)</f>
        <v>1439743</v>
      </c>
      <c r="H33" s="51">
        <f>SUM(H34:H36)</f>
        <v>435036</v>
      </c>
      <c r="I33" s="52">
        <f t="shared" si="2"/>
        <v>0.30216226090350845</v>
      </c>
      <c r="J33" s="51">
        <f>H33-'[2]Marts'!H33</f>
        <v>110963</v>
      </c>
    </row>
    <row r="34" spans="1:10" ht="28.5" customHeight="1">
      <c r="A34" s="71" t="s">
        <v>79</v>
      </c>
      <c r="B34" s="49">
        <f>SUM(B46+B63)</f>
        <v>1338259956</v>
      </c>
      <c r="C34" s="49">
        <f>SUM(C46+C63)</f>
        <v>0</v>
      </c>
      <c r="D34" s="50">
        <f t="shared" si="0"/>
        <v>0</v>
      </c>
      <c r="E34" s="49">
        <f t="shared" si="1"/>
        <v>0</v>
      </c>
      <c r="F34" s="71" t="s">
        <v>79</v>
      </c>
      <c r="G34" s="51">
        <f>SUM(G46+G63)</f>
        <v>1338260</v>
      </c>
      <c r="H34" s="51">
        <f>SUM(H46+H63)</f>
        <v>417150</v>
      </c>
      <c r="I34" s="52">
        <f t="shared" si="2"/>
        <v>0.31171072885687384</v>
      </c>
      <c r="J34" s="51">
        <f>H34-'[2]Marts'!H34</f>
        <v>105846</v>
      </c>
    </row>
    <row r="35" spans="1:10" ht="25.5" customHeight="1">
      <c r="A35" s="71" t="s">
        <v>80</v>
      </c>
      <c r="B35" s="49">
        <f>SUM(B48+B65)</f>
        <v>34787269</v>
      </c>
      <c r="C35" s="49">
        <f>SUM(C48+C65)</f>
        <v>0</v>
      </c>
      <c r="D35" s="50">
        <f t="shared" si="0"/>
        <v>0</v>
      </c>
      <c r="E35" s="49">
        <f t="shared" si="1"/>
        <v>0</v>
      </c>
      <c r="F35" s="71" t="s">
        <v>80</v>
      </c>
      <c r="G35" s="51">
        <f>SUM(G48+G65)</f>
        <v>34787</v>
      </c>
      <c r="H35" s="51">
        <f>SUM(H48+H65)</f>
        <v>5979</v>
      </c>
      <c r="I35" s="52">
        <f t="shared" si="2"/>
        <v>0.17187455083795672</v>
      </c>
      <c r="J35" s="51">
        <f>H35-'[2]Marts'!H35</f>
        <v>1577</v>
      </c>
    </row>
    <row r="36" spans="1:10" ht="30" customHeight="1">
      <c r="A36" s="71" t="s">
        <v>81</v>
      </c>
      <c r="B36" s="49">
        <f>SUM(B51+B67)</f>
        <v>66696055</v>
      </c>
      <c r="C36" s="49">
        <f>SUM(C51+C67)</f>
        <v>0</v>
      </c>
      <c r="D36" s="50">
        <f t="shared" si="0"/>
        <v>0</v>
      </c>
      <c r="E36" s="49">
        <f t="shared" si="1"/>
        <v>0</v>
      </c>
      <c r="F36" s="71" t="s">
        <v>81</v>
      </c>
      <c r="G36" s="51">
        <f>SUM(G51+G67)</f>
        <v>66696</v>
      </c>
      <c r="H36" s="51">
        <f>SUM(H51+H67)</f>
        <v>11907</v>
      </c>
      <c r="I36" s="52">
        <f t="shared" si="2"/>
        <v>0.1785264483627204</v>
      </c>
      <c r="J36" s="51">
        <f>H36-'[2]Marts'!H36</f>
        <v>3540</v>
      </c>
    </row>
    <row r="37" spans="1:10" ht="29.25" customHeight="1">
      <c r="A37" s="71" t="s">
        <v>82</v>
      </c>
      <c r="B37" s="49">
        <f>SUM(B9-B33)</f>
        <v>-66000176</v>
      </c>
      <c r="C37" s="49">
        <f>SUM(C9-C33)</f>
        <v>0</v>
      </c>
      <c r="D37" s="50">
        <f t="shared" si="0"/>
        <v>0</v>
      </c>
      <c r="E37" s="49">
        <f t="shared" si="1"/>
        <v>0</v>
      </c>
      <c r="F37" s="71" t="s">
        <v>82</v>
      </c>
      <c r="G37" s="51">
        <f>SUM(G9-G33)</f>
        <v>-66000</v>
      </c>
      <c r="H37" s="51">
        <f>SUM(H9-H33)</f>
        <v>-11030</v>
      </c>
      <c r="I37" s="52">
        <f t="shared" si="2"/>
        <v>0.16712121212121211</v>
      </c>
      <c r="J37" s="51">
        <f>H37-'[2]Marts'!H37</f>
        <v>-2591</v>
      </c>
    </row>
    <row r="38" spans="1:10" ht="25.5">
      <c r="A38" s="71" t="s">
        <v>83</v>
      </c>
      <c r="B38" s="49">
        <f>SUM(B53+B69)</f>
        <v>14499012</v>
      </c>
      <c r="C38" s="49">
        <f>SUM(C53+C69)</f>
        <v>0</v>
      </c>
      <c r="D38" s="50">
        <f t="shared" si="0"/>
        <v>0</v>
      </c>
      <c r="E38" s="49">
        <f t="shared" si="1"/>
        <v>0</v>
      </c>
      <c r="F38" s="71" t="s">
        <v>83</v>
      </c>
      <c r="G38" s="51">
        <f>SUM(G53+G69)</f>
        <v>14499</v>
      </c>
      <c r="H38" s="51">
        <f>SUM(H53+H69)</f>
        <v>-3480</v>
      </c>
      <c r="I38" s="52">
        <f t="shared" si="2"/>
        <v>-0.24001655286571488</v>
      </c>
      <c r="J38" s="51">
        <f>H38-'[2]Marts'!H38</f>
        <v>-144</v>
      </c>
    </row>
    <row r="39" spans="1:10" ht="25.5">
      <c r="A39" s="71" t="s">
        <v>84</v>
      </c>
      <c r="B39" s="49">
        <f>SUM(B33+B38)</f>
        <v>1454242292</v>
      </c>
      <c r="C39" s="49">
        <f>SUM(C33+C38)</f>
        <v>0</v>
      </c>
      <c r="D39" s="50">
        <f t="shared" si="0"/>
        <v>0</v>
      </c>
      <c r="E39" s="49">
        <f t="shared" si="1"/>
        <v>0</v>
      </c>
      <c r="F39" s="71" t="s">
        <v>84</v>
      </c>
      <c r="G39" s="51">
        <f>SUM(G33+G38)</f>
        <v>1454242</v>
      </c>
      <c r="H39" s="51">
        <f>SUM(H33+H38)</f>
        <v>431556</v>
      </c>
      <c r="I39" s="52">
        <f t="shared" si="2"/>
        <v>0.2967566608583716</v>
      </c>
      <c r="J39" s="51">
        <f>H39-'[2]Marts'!H39</f>
        <v>110819</v>
      </c>
    </row>
    <row r="40" spans="1:10" ht="27" customHeight="1">
      <c r="A40" s="71" t="s">
        <v>85</v>
      </c>
      <c r="B40" s="49">
        <f>IF((B37-B38=B9-B39)=TRUE,B37-B38,9)</f>
        <v>-80499188</v>
      </c>
      <c r="C40" s="51">
        <f>C37-C38</f>
        <v>0</v>
      </c>
      <c r="D40" s="50">
        <f t="shared" si="0"/>
        <v>0</v>
      </c>
      <c r="E40" s="49">
        <f t="shared" si="1"/>
        <v>0</v>
      </c>
      <c r="F40" s="71" t="s">
        <v>85</v>
      </c>
      <c r="G40" s="51">
        <f>IF((G37-G38=G9-G39)=TRUE,G37-G38,9)</f>
        <v>-80499</v>
      </c>
      <c r="H40" s="51">
        <f>IF((H37-H38=H9-H39)=TRUE,H37-H38,9)</f>
        <v>-7550</v>
      </c>
      <c r="I40" s="52">
        <f t="shared" si="2"/>
        <v>0.09378998496875737</v>
      </c>
      <c r="J40" s="51">
        <f>H40-'[2]Marts'!H40</f>
        <v>-2447</v>
      </c>
    </row>
    <row r="41" spans="1:10" ht="15.75" customHeight="1">
      <c r="A41" s="53" t="s">
        <v>86</v>
      </c>
      <c r="B41" s="49">
        <f>B44+B47+B49</f>
        <v>759846889</v>
      </c>
      <c r="C41" s="49">
        <f>C44+C47+C49</f>
        <v>0</v>
      </c>
      <c r="D41" s="50">
        <f t="shared" si="0"/>
        <v>0</v>
      </c>
      <c r="E41" s="49">
        <f t="shared" si="1"/>
        <v>0</v>
      </c>
      <c r="F41" s="53" t="s">
        <v>86</v>
      </c>
      <c r="G41" s="51">
        <f>G44+G47+G49</f>
        <v>759847</v>
      </c>
      <c r="H41" s="51">
        <f>H44+H47+H49</f>
        <v>221534</v>
      </c>
      <c r="I41" s="52">
        <f t="shared" si="2"/>
        <v>0.2915507990424388</v>
      </c>
      <c r="J41" s="51">
        <f>H41-'[2]Marts'!H41</f>
        <v>60389</v>
      </c>
    </row>
    <row r="42" spans="1:10" ht="12.75">
      <c r="A42" s="72" t="s">
        <v>87</v>
      </c>
      <c r="B42" s="55">
        <f>B45+B50</f>
        <v>62349187</v>
      </c>
      <c r="C42" s="55">
        <f>C45+C50</f>
        <v>0</v>
      </c>
      <c r="D42" s="56">
        <f t="shared" si="0"/>
        <v>0</v>
      </c>
      <c r="E42" s="49">
        <f t="shared" si="1"/>
        <v>0</v>
      </c>
      <c r="F42" s="72" t="s">
        <v>87</v>
      </c>
      <c r="G42" s="65">
        <f>G45+G50</f>
        <v>62349</v>
      </c>
      <c r="H42" s="65">
        <f>H45+H50</f>
        <v>21801</v>
      </c>
      <c r="I42" s="67">
        <f t="shared" si="2"/>
        <v>0.3496607804455565</v>
      </c>
      <c r="J42" s="65">
        <f>H42-'[2]Marts'!H42</f>
        <v>7236</v>
      </c>
    </row>
    <row r="43" spans="1:10" ht="20.25" customHeight="1">
      <c r="A43" s="53" t="s">
        <v>88</v>
      </c>
      <c r="B43" s="49">
        <f>SUM(B41-B42)</f>
        <v>697497702</v>
      </c>
      <c r="C43" s="49">
        <f>SUM(C41-C42)</f>
        <v>0</v>
      </c>
      <c r="D43" s="50">
        <f t="shared" si="0"/>
        <v>0</v>
      </c>
      <c r="E43" s="49">
        <f t="shared" si="1"/>
        <v>0</v>
      </c>
      <c r="F43" s="53" t="s">
        <v>88</v>
      </c>
      <c r="G43" s="51">
        <f>SUM(G41-G42)</f>
        <v>697498</v>
      </c>
      <c r="H43" s="51">
        <f>SUM(H41-H42)</f>
        <v>199733</v>
      </c>
      <c r="I43" s="52">
        <f t="shared" si="2"/>
        <v>0.2863563766491087</v>
      </c>
      <c r="J43" s="51">
        <f>H43-'[2]Marts'!H43</f>
        <v>53153</v>
      </c>
    </row>
    <row r="44" spans="1:10" ht="12.75">
      <c r="A44" s="54" t="s">
        <v>89</v>
      </c>
      <c r="B44" s="55">
        <v>694317503</v>
      </c>
      <c r="C44" s="55"/>
      <c r="D44" s="56">
        <f t="shared" si="0"/>
        <v>0</v>
      </c>
      <c r="E44" s="49">
        <f t="shared" si="1"/>
        <v>0</v>
      </c>
      <c r="F44" s="54" t="s">
        <v>89</v>
      </c>
      <c r="G44" s="55">
        <f>ROUND(B44/1000,0)-1</f>
        <v>694317</v>
      </c>
      <c r="H44" s="55">
        <v>210838</v>
      </c>
      <c r="I44" s="60">
        <f t="shared" si="2"/>
        <v>0.3036624481324813</v>
      </c>
      <c r="J44" s="55">
        <f>H44-'[2]Marts'!H44</f>
        <v>56272</v>
      </c>
    </row>
    <row r="45" spans="1:10" ht="12.75">
      <c r="A45" s="70" t="s">
        <v>90</v>
      </c>
      <c r="B45" s="55">
        <v>60907187</v>
      </c>
      <c r="C45" s="55"/>
      <c r="D45" s="56">
        <f t="shared" si="0"/>
        <v>0</v>
      </c>
      <c r="E45" s="49">
        <f t="shared" si="1"/>
        <v>0</v>
      </c>
      <c r="F45" s="70" t="s">
        <v>90</v>
      </c>
      <c r="G45" s="65">
        <f>ROUND(B45/1000,0)</f>
        <v>60907</v>
      </c>
      <c r="H45" s="65">
        <v>21190</v>
      </c>
      <c r="I45" s="67">
        <f t="shared" si="2"/>
        <v>0.3479074654801583</v>
      </c>
      <c r="J45" s="65">
        <f>H45-'[2]Marts'!H45</f>
        <v>6713</v>
      </c>
    </row>
    <row r="46" spans="1:10" ht="15" customHeight="1">
      <c r="A46" s="53" t="s">
        <v>91</v>
      </c>
      <c r="B46" s="49">
        <f>SUM(B44-B45)</f>
        <v>633410316</v>
      </c>
      <c r="C46" s="49">
        <f>SUM(C44-C45)</f>
        <v>0</v>
      </c>
      <c r="D46" s="50">
        <f t="shared" si="0"/>
        <v>0</v>
      </c>
      <c r="E46" s="49">
        <f t="shared" si="1"/>
        <v>0</v>
      </c>
      <c r="F46" s="53" t="s">
        <v>91</v>
      </c>
      <c r="G46" s="51">
        <f>SUM(G44-G45)</f>
        <v>633410</v>
      </c>
      <c r="H46" s="51">
        <f>SUM(H44-H45)</f>
        <v>189648</v>
      </c>
      <c r="I46" s="52">
        <f t="shared" si="2"/>
        <v>0.29940796640406686</v>
      </c>
      <c r="J46" s="51">
        <f>H46-'[2]Marts'!H46</f>
        <v>49559</v>
      </c>
    </row>
    <row r="47" spans="1:10" ht="15.75" customHeight="1">
      <c r="A47" s="54" t="s">
        <v>92</v>
      </c>
      <c r="B47" s="55">
        <v>24236583</v>
      </c>
      <c r="C47" s="55"/>
      <c r="D47" s="56">
        <f t="shared" si="0"/>
        <v>0</v>
      </c>
      <c r="E47" s="49">
        <f t="shared" si="1"/>
        <v>0</v>
      </c>
      <c r="F47" s="54" t="s">
        <v>92</v>
      </c>
      <c r="G47" s="55">
        <f>ROUND(B47/1000,0)</f>
        <v>24237</v>
      </c>
      <c r="H47" s="55">
        <v>2543</v>
      </c>
      <c r="I47" s="60">
        <f t="shared" si="2"/>
        <v>0.1049222263481454</v>
      </c>
      <c r="J47" s="55">
        <f>H47-'[2]Marts'!H47</f>
        <v>938</v>
      </c>
    </row>
    <row r="48" spans="1:10" ht="12.75">
      <c r="A48" s="53" t="s">
        <v>93</v>
      </c>
      <c r="B48" s="49">
        <f>SUM(B47)</f>
        <v>24236583</v>
      </c>
      <c r="C48" s="49">
        <f>SUM(C47)</f>
        <v>0</v>
      </c>
      <c r="D48" s="50">
        <f t="shared" si="0"/>
        <v>0</v>
      </c>
      <c r="E48" s="49">
        <f t="shared" si="1"/>
        <v>0</v>
      </c>
      <c r="F48" s="53" t="s">
        <v>93</v>
      </c>
      <c r="G48" s="51">
        <f>SUM(G47)</f>
        <v>24237</v>
      </c>
      <c r="H48" s="51">
        <f>SUM(H47)</f>
        <v>2543</v>
      </c>
      <c r="I48" s="52">
        <f t="shared" si="2"/>
        <v>0.1049222263481454</v>
      </c>
      <c r="J48" s="51">
        <f>H48-'[2]Marts'!H48</f>
        <v>938</v>
      </c>
    </row>
    <row r="49" spans="1:10" ht="12.75">
      <c r="A49" s="54" t="s">
        <v>94</v>
      </c>
      <c r="B49" s="55">
        <v>41292803</v>
      </c>
      <c r="C49" s="55"/>
      <c r="D49" s="56">
        <f t="shared" si="0"/>
        <v>0</v>
      </c>
      <c r="E49" s="49">
        <f t="shared" si="1"/>
        <v>0</v>
      </c>
      <c r="F49" s="54" t="s">
        <v>94</v>
      </c>
      <c r="G49" s="55">
        <f>ROUND(B49/1000,0)</f>
        <v>41293</v>
      </c>
      <c r="H49" s="55">
        <v>8153</v>
      </c>
      <c r="I49" s="60">
        <f t="shared" si="2"/>
        <v>0.19744266582713776</v>
      </c>
      <c r="J49" s="55">
        <f>H49-'[2]Marts'!H49</f>
        <v>3179</v>
      </c>
    </row>
    <row r="50" spans="1:211" s="54" customFormat="1" ht="12.75">
      <c r="A50" s="70" t="s">
        <v>95</v>
      </c>
      <c r="B50" s="55">
        <v>1442000</v>
      </c>
      <c r="C50" s="55"/>
      <c r="D50" s="56">
        <f t="shared" si="0"/>
        <v>0</v>
      </c>
      <c r="E50" s="49">
        <f t="shared" si="1"/>
        <v>0</v>
      </c>
      <c r="F50" s="70" t="s">
        <v>95</v>
      </c>
      <c r="G50" s="65">
        <f>ROUND(B50/1000,0)</f>
        <v>1442</v>
      </c>
      <c r="H50" s="65">
        <v>611</v>
      </c>
      <c r="I50" s="67">
        <f t="shared" si="2"/>
        <v>0.4237170596393897</v>
      </c>
      <c r="J50" s="65">
        <f>H50-'[2]Marts'!H50</f>
        <v>523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</row>
    <row r="51" spans="1:211" s="54" customFormat="1" ht="17.25" customHeight="1">
      <c r="A51" s="53" t="s">
        <v>96</v>
      </c>
      <c r="B51" s="49">
        <f>SUM(B49-B50)</f>
        <v>39850803</v>
      </c>
      <c r="C51" s="49">
        <f>SUM(C49-C50)</f>
        <v>0</v>
      </c>
      <c r="D51" s="50">
        <f t="shared" si="0"/>
        <v>0</v>
      </c>
      <c r="E51" s="49">
        <f t="shared" si="1"/>
        <v>0</v>
      </c>
      <c r="F51" s="53" t="s">
        <v>96</v>
      </c>
      <c r="G51" s="51">
        <f>SUM(G49-G50)</f>
        <v>39851</v>
      </c>
      <c r="H51" s="51">
        <f>SUM(H49-H50)</f>
        <v>7542</v>
      </c>
      <c r="I51" s="52">
        <f t="shared" si="2"/>
        <v>0.18925497478105946</v>
      </c>
      <c r="J51" s="51">
        <f>H51-'[2]Marts'!H51</f>
        <v>2656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</row>
    <row r="52" spans="1:211" s="54" customFormat="1" ht="30" customHeight="1">
      <c r="A52" s="71" t="s">
        <v>97</v>
      </c>
      <c r="B52" s="49">
        <f>SUM(B10-B41)</f>
        <v>-22315620</v>
      </c>
      <c r="C52" s="49">
        <f>SUM(C10-C41)</f>
        <v>0</v>
      </c>
      <c r="D52" s="50">
        <f t="shared" si="0"/>
        <v>0</v>
      </c>
      <c r="E52" s="49">
        <f t="shared" si="1"/>
        <v>0</v>
      </c>
      <c r="F52" s="71" t="s">
        <v>97</v>
      </c>
      <c r="G52" s="51">
        <f>SUM(G10-G41)</f>
        <v>-22316</v>
      </c>
      <c r="H52" s="51">
        <f>SUM(H10-H41)</f>
        <v>9623</v>
      </c>
      <c r="I52" s="52">
        <f t="shared" si="2"/>
        <v>-0.43121527155404193</v>
      </c>
      <c r="J52" s="51">
        <f>H52-'[2]Marts'!H52</f>
        <v>270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</row>
    <row r="53" spans="1:211" s="54" customFormat="1" ht="17.25" customHeight="1">
      <c r="A53" s="53" t="s">
        <v>98</v>
      </c>
      <c r="B53" s="49">
        <f>B56</f>
        <v>7759392</v>
      </c>
      <c r="C53" s="49"/>
      <c r="D53" s="50">
        <f t="shared" si="0"/>
        <v>0</v>
      </c>
      <c r="E53" s="49">
        <f t="shared" si="1"/>
        <v>0</v>
      </c>
      <c r="F53" s="53" t="s">
        <v>98</v>
      </c>
      <c r="G53" s="51">
        <f>G56</f>
        <v>7759</v>
      </c>
      <c r="H53" s="51">
        <f>H56</f>
        <v>-5104</v>
      </c>
      <c r="I53" s="52">
        <f t="shared" si="2"/>
        <v>-0.6578167289599175</v>
      </c>
      <c r="J53" s="51">
        <f>H53-'[2]Marts'!H53</f>
        <v>-676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</row>
    <row r="54" spans="1:211" s="54" customFormat="1" ht="16.5" customHeight="1">
      <c r="A54" s="54" t="s">
        <v>99</v>
      </c>
      <c r="B54" s="55">
        <v>55987963</v>
      </c>
      <c r="C54" s="55"/>
      <c r="D54" s="56">
        <f t="shared" si="0"/>
        <v>0</v>
      </c>
      <c r="E54" s="49">
        <f t="shared" si="1"/>
        <v>0</v>
      </c>
      <c r="F54" s="54" t="s">
        <v>100</v>
      </c>
      <c r="G54" s="57">
        <f>ROUND(B54/1000,0)</f>
        <v>55988</v>
      </c>
      <c r="H54" s="57">
        <v>23174</v>
      </c>
      <c r="I54" s="58">
        <f t="shared" si="2"/>
        <v>0.41391012359791385</v>
      </c>
      <c r="J54" s="57">
        <f>H54-'[2]Marts'!H54</f>
        <v>4717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</row>
    <row r="55" spans="1:211" s="54" customFormat="1" ht="12.75" customHeight="1">
      <c r="A55" s="70" t="s">
        <v>95</v>
      </c>
      <c r="B55" s="55">
        <v>48228571</v>
      </c>
      <c r="C55" s="55"/>
      <c r="D55" s="56">
        <f t="shared" si="0"/>
        <v>0</v>
      </c>
      <c r="E55" s="49">
        <f t="shared" si="1"/>
        <v>0</v>
      </c>
      <c r="F55" s="70" t="s">
        <v>95</v>
      </c>
      <c r="G55" s="65">
        <f>ROUND(B55/1000,0)</f>
        <v>48229</v>
      </c>
      <c r="H55" s="65">
        <v>28278</v>
      </c>
      <c r="I55" s="67">
        <f t="shared" si="2"/>
        <v>0.586327728130378</v>
      </c>
      <c r="J55" s="65">
        <f>H55-'[2]Marts'!H55</f>
        <v>5393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</row>
    <row r="56" spans="1:211" s="54" customFormat="1" ht="15" customHeight="1">
      <c r="A56" s="54" t="s">
        <v>101</v>
      </c>
      <c r="B56" s="55">
        <f>B54-B55</f>
        <v>7759392</v>
      </c>
      <c r="C56" s="55"/>
      <c r="D56" s="56">
        <f t="shared" si="0"/>
        <v>0</v>
      </c>
      <c r="E56" s="49">
        <f t="shared" si="1"/>
        <v>0</v>
      </c>
      <c r="F56" s="54" t="s">
        <v>101</v>
      </c>
      <c r="G56" s="57">
        <f>G54-G55</f>
        <v>7759</v>
      </c>
      <c r="H56" s="57">
        <f>SUM(H54-H55)</f>
        <v>-5104</v>
      </c>
      <c r="I56" s="58">
        <f t="shared" si="2"/>
        <v>-0.6578167289599175</v>
      </c>
      <c r="J56" s="57">
        <f>H56-'[2]Marts'!H56</f>
        <v>-676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</row>
    <row r="57" spans="1:211" s="54" customFormat="1" ht="32.25" customHeight="1">
      <c r="A57" s="71" t="s">
        <v>102</v>
      </c>
      <c r="B57" s="49">
        <f>B52-B54</f>
        <v>-78303583</v>
      </c>
      <c r="C57" s="49">
        <f>C52-C54</f>
        <v>0</v>
      </c>
      <c r="D57" s="50">
        <f t="shared" si="0"/>
        <v>0</v>
      </c>
      <c r="E57" s="49">
        <f t="shared" si="1"/>
        <v>0</v>
      </c>
      <c r="F57" s="71" t="s">
        <v>103</v>
      </c>
      <c r="G57" s="51">
        <f>G52-G54</f>
        <v>-78304</v>
      </c>
      <c r="H57" s="51">
        <f>H52-H54</f>
        <v>-13551</v>
      </c>
      <c r="I57" s="52">
        <f t="shared" si="2"/>
        <v>0.17305629342051493</v>
      </c>
      <c r="J57" s="51">
        <f>H57-'[2]Marts'!H57</f>
        <v>-4447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</row>
    <row r="58" spans="1:211" s="54" customFormat="1" ht="17.25" customHeight="1">
      <c r="A58" s="53" t="s">
        <v>104</v>
      </c>
      <c r="B58" s="49">
        <v>743446778</v>
      </c>
      <c r="C58" s="49">
        <f>C61+C64+C66</f>
        <v>0</v>
      </c>
      <c r="D58" s="50">
        <f t="shared" si="0"/>
        <v>0</v>
      </c>
      <c r="E58" s="49">
        <f t="shared" si="1"/>
        <v>0</v>
      </c>
      <c r="F58" s="53" t="s">
        <v>104</v>
      </c>
      <c r="G58" s="51">
        <f>G61+G64+G66</f>
        <v>743446</v>
      </c>
      <c r="H58" s="51">
        <f>H61+H64+H66</f>
        <v>235703</v>
      </c>
      <c r="I58" s="52">
        <f t="shared" si="2"/>
        <v>0.3170411838923069</v>
      </c>
      <c r="J58" s="51">
        <f>H58-'[2]Marts'!H58</f>
        <v>58010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</row>
    <row r="59" spans="1:211" s="54" customFormat="1" ht="12.75" customHeight="1">
      <c r="A59" s="70" t="s">
        <v>105</v>
      </c>
      <c r="B59" s="55">
        <f>B62</f>
        <v>1201200</v>
      </c>
      <c r="C59" s="55">
        <f>C22</f>
        <v>0</v>
      </c>
      <c r="D59" s="56">
        <f t="shared" si="0"/>
        <v>0</v>
      </c>
      <c r="E59" s="49">
        <f t="shared" si="1"/>
        <v>0</v>
      </c>
      <c r="F59" s="70" t="s">
        <v>105</v>
      </c>
      <c r="G59" s="65">
        <f>G62</f>
        <v>1201</v>
      </c>
      <c r="H59" s="65">
        <f>H62</f>
        <v>400</v>
      </c>
      <c r="I59" s="67">
        <f t="shared" si="2"/>
        <v>0.33305578684429643</v>
      </c>
      <c r="J59" s="65">
        <f>H59-'[2]Marts'!H59</f>
        <v>200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</row>
    <row r="60" spans="1:211" s="54" customFormat="1" ht="19.5" customHeight="1">
      <c r="A60" s="53" t="s">
        <v>106</v>
      </c>
      <c r="B60" s="49">
        <f>SUM(B58-B59)</f>
        <v>742245578</v>
      </c>
      <c r="C60" s="49">
        <f>SUM(C58-C59)</f>
        <v>0</v>
      </c>
      <c r="D60" s="50">
        <f t="shared" si="0"/>
        <v>0</v>
      </c>
      <c r="E60" s="49">
        <f t="shared" si="1"/>
        <v>0</v>
      </c>
      <c r="F60" s="53" t="s">
        <v>106</v>
      </c>
      <c r="G60" s="51">
        <f>SUM(G58-G59)</f>
        <v>742245</v>
      </c>
      <c r="H60" s="51">
        <f>SUM(H58-H59)</f>
        <v>235303</v>
      </c>
      <c r="I60" s="52">
        <f t="shared" si="2"/>
        <v>0.31701527123793355</v>
      </c>
      <c r="J60" s="51">
        <f>H60-'[2]Marts'!H60</f>
        <v>57810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</row>
    <row r="61" spans="1:211" s="54" customFormat="1" ht="15.75" customHeight="1">
      <c r="A61" s="54" t="s">
        <v>107</v>
      </c>
      <c r="B61" s="55">
        <v>706050840</v>
      </c>
      <c r="C61" s="55"/>
      <c r="D61" s="56">
        <f t="shared" si="0"/>
        <v>0</v>
      </c>
      <c r="E61" s="49">
        <f t="shared" si="1"/>
        <v>0</v>
      </c>
      <c r="F61" s="54" t="s">
        <v>107</v>
      </c>
      <c r="G61" s="57">
        <f>ROUND(B61/1000,0)</f>
        <v>706051</v>
      </c>
      <c r="H61" s="57">
        <v>227902</v>
      </c>
      <c r="I61" s="58">
        <f t="shared" si="2"/>
        <v>0.32278404817782286</v>
      </c>
      <c r="J61" s="57">
        <f>H61-'[2]Marts'!H61</f>
        <v>56487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</row>
    <row r="62" spans="1:211" s="54" customFormat="1" ht="12.75" customHeight="1">
      <c r="A62" s="70" t="s">
        <v>108</v>
      </c>
      <c r="B62" s="55">
        <v>1201200</v>
      </c>
      <c r="C62" s="55">
        <f>C22</f>
        <v>0</v>
      </c>
      <c r="D62" s="56">
        <f t="shared" si="0"/>
        <v>0</v>
      </c>
      <c r="E62" s="49">
        <f t="shared" si="1"/>
        <v>0</v>
      </c>
      <c r="F62" s="70" t="s">
        <v>108</v>
      </c>
      <c r="G62" s="65">
        <f>ROUND(B62/1000,0)</f>
        <v>1201</v>
      </c>
      <c r="H62" s="66">
        <v>400</v>
      </c>
      <c r="I62" s="67">
        <f t="shared" si="2"/>
        <v>0.33305578684429643</v>
      </c>
      <c r="J62" s="65">
        <f>H62-'[2]Marts'!H62</f>
        <v>200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</row>
    <row r="63" spans="1:211" s="54" customFormat="1" ht="19.5" customHeight="1">
      <c r="A63" s="53" t="s">
        <v>109</v>
      </c>
      <c r="B63" s="49">
        <f>SUM(B61-B62)</f>
        <v>704849640</v>
      </c>
      <c r="C63" s="49">
        <f>SUM(C61-C62)</f>
        <v>0</v>
      </c>
      <c r="D63" s="50">
        <f t="shared" si="0"/>
        <v>0</v>
      </c>
      <c r="E63" s="49">
        <f t="shared" si="1"/>
        <v>0</v>
      </c>
      <c r="F63" s="53" t="s">
        <v>109</v>
      </c>
      <c r="G63" s="51">
        <f>SUM(G61-G62)</f>
        <v>704850</v>
      </c>
      <c r="H63" s="51">
        <f>SUM(H61-H62)</f>
        <v>227502</v>
      </c>
      <c r="I63" s="52">
        <f t="shared" si="2"/>
        <v>0.3227665460736327</v>
      </c>
      <c r="J63" s="51">
        <f>H63-'[2]Marts'!H63</f>
        <v>56287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</row>
    <row r="64" spans="1:211" s="54" customFormat="1" ht="17.25" customHeight="1">
      <c r="A64" s="54" t="s">
        <v>110</v>
      </c>
      <c r="B64" s="55">
        <v>10550686</v>
      </c>
      <c r="C64" s="55"/>
      <c r="D64" s="56">
        <f t="shared" si="0"/>
        <v>0</v>
      </c>
      <c r="E64" s="49">
        <f t="shared" si="1"/>
        <v>0</v>
      </c>
      <c r="F64" s="54" t="s">
        <v>110</v>
      </c>
      <c r="G64" s="57">
        <f>ROUND(B64/1000,0)-1</f>
        <v>10550</v>
      </c>
      <c r="H64" s="57">
        <v>3436</v>
      </c>
      <c r="I64" s="58">
        <f t="shared" si="2"/>
        <v>0.3256872037914692</v>
      </c>
      <c r="J64" s="57">
        <f>H64-'[2]Marts'!H64</f>
        <v>639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</row>
    <row r="65" spans="1:211" s="54" customFormat="1" ht="18.75" customHeight="1">
      <c r="A65" s="53" t="s">
        <v>111</v>
      </c>
      <c r="B65" s="49">
        <f>SUM(B64)</f>
        <v>10550686</v>
      </c>
      <c r="C65" s="49">
        <f>SUM(C64)</f>
        <v>0</v>
      </c>
      <c r="D65" s="50">
        <f t="shared" si="0"/>
        <v>0</v>
      </c>
      <c r="E65" s="49">
        <f t="shared" si="1"/>
        <v>0</v>
      </c>
      <c r="F65" s="53" t="s">
        <v>111</v>
      </c>
      <c r="G65" s="51">
        <f>SUM(G64)</f>
        <v>10550</v>
      </c>
      <c r="H65" s="51">
        <f>SUM(H64)</f>
        <v>3436</v>
      </c>
      <c r="I65" s="52">
        <f t="shared" si="2"/>
        <v>0.3256872037914692</v>
      </c>
      <c r="J65" s="51">
        <f>H65-'[2]Marts'!H65</f>
        <v>639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</row>
    <row r="66" spans="1:211" s="54" customFormat="1" ht="18" customHeight="1">
      <c r="A66" s="54" t="s">
        <v>112</v>
      </c>
      <c r="B66" s="55">
        <v>26845252</v>
      </c>
      <c r="C66" s="55"/>
      <c r="D66" s="56">
        <f t="shared" si="0"/>
        <v>0</v>
      </c>
      <c r="E66" s="49">
        <f t="shared" si="1"/>
        <v>0</v>
      </c>
      <c r="F66" s="54" t="s">
        <v>112</v>
      </c>
      <c r="G66" s="57">
        <f>ROUND(B66/1000,0)</f>
        <v>26845</v>
      </c>
      <c r="H66" s="57">
        <v>4365</v>
      </c>
      <c r="I66" s="58">
        <f t="shared" si="2"/>
        <v>0.16260011175265413</v>
      </c>
      <c r="J66" s="57">
        <f>H66-'[2]Marts'!H66</f>
        <v>884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</row>
    <row r="67" spans="1:211" s="54" customFormat="1" ht="12.75">
      <c r="A67" s="53" t="s">
        <v>113</v>
      </c>
      <c r="B67" s="49">
        <f>SUM(B66)</f>
        <v>26845252</v>
      </c>
      <c r="C67" s="49">
        <f>SUM(C66)</f>
        <v>0</v>
      </c>
      <c r="D67" s="50">
        <f t="shared" si="0"/>
        <v>0</v>
      </c>
      <c r="E67" s="49">
        <f t="shared" si="1"/>
        <v>0</v>
      </c>
      <c r="F67" s="53" t="s">
        <v>113</v>
      </c>
      <c r="G67" s="51">
        <f>SUM(G66)</f>
        <v>26845</v>
      </c>
      <c r="H67" s="51">
        <f>SUM(H66)</f>
        <v>4365</v>
      </c>
      <c r="I67" s="52">
        <f t="shared" si="2"/>
        <v>0.16260011175265413</v>
      </c>
      <c r="J67" s="51">
        <f>H67-'[2]Marts'!H67</f>
        <v>884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</row>
    <row r="68" spans="1:211" s="54" customFormat="1" ht="28.5" customHeight="1">
      <c r="A68" s="71" t="s">
        <v>114</v>
      </c>
      <c r="B68" s="49">
        <f>SUM(B24-B58)</f>
        <v>-43684556</v>
      </c>
      <c r="C68" s="49">
        <f>SUM(C24-C58)</f>
        <v>0</v>
      </c>
      <c r="D68" s="50">
        <f t="shared" si="0"/>
        <v>0</v>
      </c>
      <c r="E68" s="49">
        <f t="shared" si="1"/>
        <v>0</v>
      </c>
      <c r="F68" s="71" t="s">
        <v>114</v>
      </c>
      <c r="G68" s="51">
        <f>SUM(G24-G58)</f>
        <v>-43684</v>
      </c>
      <c r="H68" s="51">
        <f>SUM(H24-H58)</f>
        <v>-20653</v>
      </c>
      <c r="I68" s="52">
        <f t="shared" si="2"/>
        <v>0.4727817965387785</v>
      </c>
      <c r="J68" s="51">
        <f>H68-'[2]Marts'!H68</f>
        <v>-2861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</row>
    <row r="69" spans="1:211" s="54" customFormat="1" ht="12.75">
      <c r="A69" s="53" t="s">
        <v>115</v>
      </c>
      <c r="B69" s="49">
        <f>SUM(B70)</f>
        <v>6739620</v>
      </c>
      <c r="C69" s="49"/>
      <c r="D69" s="50">
        <f t="shared" si="0"/>
        <v>0</v>
      </c>
      <c r="E69" s="49">
        <f t="shared" si="1"/>
        <v>0</v>
      </c>
      <c r="F69" s="53" t="s">
        <v>115</v>
      </c>
      <c r="G69" s="51">
        <f>SUM(G70)</f>
        <v>6740</v>
      </c>
      <c r="H69" s="51">
        <f>SUM(H70)</f>
        <v>1624</v>
      </c>
      <c r="I69" s="52">
        <f t="shared" si="2"/>
        <v>0.24094955489614242</v>
      </c>
      <c r="J69" s="51">
        <f>H69-'[2]Marts'!H69</f>
        <v>532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</row>
    <row r="70" spans="1:211" s="54" customFormat="1" ht="15.75" customHeight="1">
      <c r="A70" s="54" t="s">
        <v>116</v>
      </c>
      <c r="B70" s="55">
        <v>6739620</v>
      </c>
      <c r="C70" s="55"/>
      <c r="D70" s="56">
        <f>IF(ISERROR(C70/B70)," ",(C70/B70))</f>
        <v>0</v>
      </c>
      <c r="E70" s="49">
        <f>C70</f>
        <v>0</v>
      </c>
      <c r="F70" s="54" t="s">
        <v>116</v>
      </c>
      <c r="G70" s="55">
        <f>ROUND(B70/1000,0)</f>
        <v>6740</v>
      </c>
      <c r="H70" s="55">
        <v>1624</v>
      </c>
      <c r="I70" s="60">
        <f>IF(ISERROR(H70/G70)," ",(H70/G70))</f>
        <v>0.24094955489614242</v>
      </c>
      <c r="J70" s="55">
        <f>H70-'[2]Marts'!H70</f>
        <v>532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</row>
    <row r="71" spans="1:211" s="54" customFormat="1" ht="15.75" customHeight="1">
      <c r="A71" s="54" t="s">
        <v>117</v>
      </c>
      <c r="B71" s="55">
        <f>SUM(B70)</f>
        <v>6739620</v>
      </c>
      <c r="C71" s="55">
        <f>SUM(C70)</f>
        <v>0</v>
      </c>
      <c r="D71" s="56">
        <f>IF(ISERROR(C71/B71)," ",(C71/B71))</f>
        <v>0</v>
      </c>
      <c r="E71" s="49">
        <f>C71</f>
        <v>0</v>
      </c>
      <c r="F71" s="54" t="s">
        <v>117</v>
      </c>
      <c r="G71" s="55">
        <f>SUM(G70)</f>
        <v>6740</v>
      </c>
      <c r="H71" s="55">
        <f>SUM(H70)</f>
        <v>1624</v>
      </c>
      <c r="I71" s="60">
        <f>IF(ISERROR(H71/G71)," ",(H71/G71))</f>
        <v>0.24094955489614242</v>
      </c>
      <c r="J71" s="55">
        <f>H71-'[2]Marts'!H71</f>
        <v>532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</row>
    <row r="72" spans="1:211" s="54" customFormat="1" ht="30.75" customHeight="1">
      <c r="A72" s="71" t="s">
        <v>118</v>
      </c>
      <c r="B72" s="49">
        <f>SUM(B68-B69)</f>
        <v>-50424176</v>
      </c>
      <c r="C72" s="49">
        <f>SUM(C68-C69)</f>
        <v>0</v>
      </c>
      <c r="D72" s="50">
        <f>IF(ISERROR(C72/B72)," ",(C72/B72))</f>
        <v>0</v>
      </c>
      <c r="E72" s="49">
        <f>C72</f>
        <v>0</v>
      </c>
      <c r="F72" s="71" t="s">
        <v>118</v>
      </c>
      <c r="G72" s="51">
        <f>SUM(G68-G69)</f>
        <v>-50424</v>
      </c>
      <c r="H72" s="51">
        <f>SUM(H68-H69)</f>
        <v>-22277</v>
      </c>
      <c r="I72" s="52">
        <f>IF(ISERROR(H72/G72)," ",(H72/G72))</f>
        <v>0.4417935903537998</v>
      </c>
      <c r="J72" s="51">
        <f>H72-'[2]Marts'!H72</f>
        <v>-3393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</row>
    <row r="73" spans="1:211" s="75" customFormat="1" ht="12.75">
      <c r="A73" s="73"/>
      <c r="B73" s="74"/>
      <c r="F73" s="73"/>
      <c r="G73" s="74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</row>
    <row r="74" spans="1:211" s="75" customFormat="1" ht="12.75">
      <c r="A74" s="73"/>
      <c r="B74" s="74"/>
      <c r="F74" s="76"/>
      <c r="G74" s="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</row>
    <row r="75" spans="1:10" ht="12.75">
      <c r="A75" s="77"/>
      <c r="F75" s="77"/>
      <c r="G75" s="44"/>
      <c r="H75" s="43"/>
      <c r="I75" s="43"/>
      <c r="J75" s="43"/>
    </row>
    <row r="76" spans="1:10" ht="12.75">
      <c r="A76" s="77"/>
      <c r="F76" s="77"/>
      <c r="G76" s="44"/>
      <c r="H76" s="43"/>
      <c r="I76" s="43"/>
      <c r="J76" s="43"/>
    </row>
    <row r="77" spans="1:10" ht="12.75">
      <c r="A77" s="75"/>
      <c r="F77" s="78" t="s">
        <v>119</v>
      </c>
      <c r="G77" s="45"/>
      <c r="H77" s="79"/>
      <c r="I77" s="43"/>
      <c r="J77" s="43"/>
    </row>
    <row r="78" spans="1:10" ht="12.75">
      <c r="A78" s="78" t="s">
        <v>119</v>
      </c>
      <c r="B78" s="45"/>
      <c r="C78" s="79"/>
      <c r="D78" s="79"/>
      <c r="E78" s="79"/>
      <c r="F78" s="78"/>
      <c r="G78" s="45"/>
      <c r="H78" s="79"/>
      <c r="I78" s="79"/>
      <c r="J78" s="79"/>
    </row>
    <row r="79" spans="1:10" ht="12.75">
      <c r="A79" s="2"/>
      <c r="F79" s="2"/>
      <c r="G79" s="44"/>
      <c r="H79" s="43"/>
      <c r="I79" s="43"/>
      <c r="J79" s="43"/>
    </row>
    <row r="80" spans="1:10" ht="12.75">
      <c r="A80" s="2"/>
      <c r="C80" s="39"/>
      <c r="D80" s="39"/>
      <c r="E80" s="39"/>
      <c r="F80" s="2"/>
      <c r="G80" s="44"/>
      <c r="H80" s="39"/>
      <c r="I80" s="39"/>
      <c r="J80" s="39"/>
    </row>
    <row r="81" spans="7:10" ht="12.75">
      <c r="G81" s="44"/>
      <c r="H81" s="43"/>
      <c r="I81" s="43"/>
      <c r="J81" s="43"/>
    </row>
    <row r="82" spans="6:10" ht="12.75">
      <c r="F82" s="2" t="s">
        <v>120</v>
      </c>
      <c r="G82" s="44"/>
      <c r="H82" s="43"/>
      <c r="I82" s="43"/>
      <c r="J82" s="43"/>
    </row>
    <row r="83" spans="6:10" ht="12.75">
      <c r="F83" s="2" t="s">
        <v>43</v>
      </c>
      <c r="I83" s="43"/>
      <c r="J83" s="43"/>
    </row>
    <row r="84" spans="1:10" ht="12.75">
      <c r="A84" s="2" t="s">
        <v>120</v>
      </c>
      <c r="G84" s="45"/>
      <c r="H84" s="79"/>
      <c r="I84" s="43"/>
      <c r="J84" s="43"/>
    </row>
    <row r="85" spans="1:10" ht="12.75">
      <c r="A85" s="2" t="s">
        <v>121</v>
      </c>
      <c r="G85" s="44"/>
      <c r="H85" s="43"/>
      <c r="I85" s="43"/>
      <c r="J85" s="43"/>
    </row>
    <row r="86" spans="6:10" ht="12.75">
      <c r="F86" s="43"/>
      <c r="G86" s="44"/>
      <c r="H86" s="43"/>
      <c r="I86" s="43"/>
      <c r="J86" s="43"/>
    </row>
  </sheetData>
  <mergeCells count="2">
    <mergeCell ref="A4:E4"/>
    <mergeCell ref="F4:J4"/>
  </mergeCells>
  <printOptions/>
  <pageMargins left="0.75" right="0.24" top="1" bottom="0.4" header="0.5" footer="0.18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/>
  <dimension ref="A1:DW62"/>
  <sheetViews>
    <sheetView workbookViewId="0" topLeftCell="A11">
      <selection activeCell="B10" sqref="B10"/>
    </sheetView>
  </sheetViews>
  <sheetFormatPr defaultColWidth="9.140625" defaultRowHeight="12.75"/>
  <cols>
    <col min="1" max="1" width="64.8515625" style="453" customWidth="1"/>
    <col min="2" max="2" width="19.140625" style="453" customWidth="1"/>
    <col min="3" max="16384" width="8.00390625" style="453" customWidth="1"/>
  </cols>
  <sheetData>
    <row r="1" spans="1:4" s="461" customFormat="1" ht="12.75">
      <c r="A1" s="467" t="s">
        <v>663</v>
      </c>
      <c r="B1" s="467" t="s">
        <v>664</v>
      </c>
      <c r="D1" s="640"/>
    </row>
    <row r="2" spans="1:2" s="461" customFormat="1" ht="12.75">
      <c r="A2" s="467"/>
      <c r="B2" s="467"/>
    </row>
    <row r="3" s="497" customFormat="1" ht="12"/>
    <row r="4" s="497" customFormat="1" ht="15.75">
      <c r="A4" s="567" t="s">
        <v>665</v>
      </c>
    </row>
    <row r="5" s="497" customFormat="1" ht="15.75">
      <c r="A5" s="644" t="s">
        <v>666</v>
      </c>
    </row>
    <row r="6" spans="1:2" s="497" customFormat="1" ht="12">
      <c r="A6" s="640"/>
      <c r="B6" s="640"/>
    </row>
    <row r="7" spans="1:2" s="497" customFormat="1" ht="12">
      <c r="A7" s="645"/>
      <c r="B7" s="646" t="s">
        <v>178</v>
      </c>
    </row>
    <row r="8" spans="1:2" s="497" customFormat="1" ht="12.75">
      <c r="A8" s="647" t="s">
        <v>2</v>
      </c>
      <c r="B8" s="648" t="s">
        <v>667</v>
      </c>
    </row>
    <row r="9" spans="1:127" s="651" customFormat="1" ht="12.75">
      <c r="A9" s="649">
        <v>1</v>
      </c>
      <c r="B9" s="650">
        <v>2</v>
      </c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</row>
    <row r="10" spans="1:127" s="651" customFormat="1" ht="23.25" customHeight="1">
      <c r="A10" s="652" t="s">
        <v>668</v>
      </c>
      <c r="B10" s="653">
        <f>SUM(B11:B16)</f>
        <v>10498883</v>
      </c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  <c r="BO10" s="497"/>
      <c r="BP10" s="497"/>
      <c r="BQ10" s="497"/>
      <c r="BR10" s="497"/>
      <c r="BS10" s="497"/>
      <c r="BT10" s="497"/>
      <c r="BU10" s="497"/>
      <c r="BV10" s="497"/>
      <c r="BW10" s="497"/>
      <c r="BX10" s="497"/>
      <c r="BY10" s="497"/>
      <c r="BZ10" s="497"/>
      <c r="CA10" s="497"/>
      <c r="CB10" s="497"/>
      <c r="CC10" s="497"/>
      <c r="CD10" s="497"/>
      <c r="CE10" s="497"/>
      <c r="CF10" s="497"/>
      <c r="CG10" s="497"/>
      <c r="CH10" s="497"/>
      <c r="CI10" s="497"/>
      <c r="CJ10" s="497"/>
      <c r="CK10" s="497"/>
      <c r="CL10" s="497"/>
      <c r="CM10" s="497"/>
      <c r="CN10" s="497"/>
      <c r="CO10" s="497"/>
      <c r="CP10" s="497"/>
      <c r="CQ10" s="497"/>
      <c r="CR10" s="497"/>
      <c r="CS10" s="497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</row>
    <row r="11" spans="1:127" s="651" customFormat="1" ht="23.25" customHeight="1">
      <c r="A11" s="654" t="s">
        <v>669</v>
      </c>
      <c r="B11" s="655">
        <v>9182</v>
      </c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7"/>
      <c r="AL11" s="497"/>
      <c r="AM11" s="497"/>
      <c r="AN11" s="497"/>
      <c r="AO11" s="497"/>
      <c r="AP11" s="497"/>
      <c r="AQ11" s="497"/>
      <c r="AR11" s="497"/>
      <c r="AS11" s="497"/>
      <c r="AT11" s="497"/>
      <c r="AU11" s="497"/>
      <c r="AV11" s="497"/>
      <c r="AW11" s="497"/>
      <c r="AX11" s="497"/>
      <c r="AY11" s="497"/>
      <c r="AZ11" s="497"/>
      <c r="BA11" s="497"/>
      <c r="BB11" s="497"/>
      <c r="BC11" s="497"/>
      <c r="BD11" s="497"/>
      <c r="BE11" s="497"/>
      <c r="BF11" s="497"/>
      <c r="BG11" s="497"/>
      <c r="BH11" s="497"/>
      <c r="BI11" s="497"/>
      <c r="BJ11" s="497"/>
      <c r="BK11" s="497"/>
      <c r="BL11" s="497"/>
      <c r="BM11" s="497"/>
      <c r="BN11" s="497"/>
      <c r="BO11" s="497"/>
      <c r="BP11" s="497"/>
      <c r="BQ11" s="497"/>
      <c r="BR11" s="497"/>
      <c r="BS11" s="497"/>
      <c r="BT11" s="497"/>
      <c r="BU11" s="497"/>
      <c r="BV11" s="497"/>
      <c r="BW11" s="497"/>
      <c r="BX11" s="497"/>
      <c r="BY11" s="497"/>
      <c r="BZ11" s="497"/>
      <c r="CA11" s="497"/>
      <c r="CB11" s="497"/>
      <c r="CC11" s="497"/>
      <c r="CD11" s="497"/>
      <c r="CE11" s="497"/>
      <c r="CF11" s="497"/>
      <c r="CG11" s="497"/>
      <c r="CH11" s="497"/>
      <c r="CI11" s="497"/>
      <c r="CJ11" s="497"/>
      <c r="CK11" s="497"/>
      <c r="CL11" s="497"/>
      <c r="CM11" s="497"/>
      <c r="CN11" s="497"/>
      <c r="CO11" s="497"/>
      <c r="CP11" s="497"/>
      <c r="CQ11" s="497"/>
      <c r="CR11" s="497"/>
      <c r="CS11" s="497"/>
      <c r="CT11" s="497"/>
      <c r="CU11" s="497"/>
      <c r="CV11" s="497"/>
      <c r="CW11" s="497"/>
      <c r="CX11" s="497"/>
      <c r="CY11" s="497"/>
      <c r="CZ11" s="497"/>
      <c r="DA11" s="497"/>
      <c r="DB11" s="497"/>
      <c r="DC11" s="497"/>
      <c r="DD11" s="497"/>
      <c r="DE11" s="497"/>
      <c r="DF11" s="497"/>
      <c r="DG11" s="497"/>
      <c r="DH11" s="497"/>
      <c r="DI11" s="497"/>
      <c r="DJ11" s="497"/>
      <c r="DK11" s="497"/>
      <c r="DL11" s="497"/>
      <c r="DM11" s="497"/>
      <c r="DN11" s="497"/>
      <c r="DO11" s="497"/>
      <c r="DP11" s="497"/>
      <c r="DQ11" s="497"/>
      <c r="DR11" s="497"/>
      <c r="DS11" s="497"/>
      <c r="DT11" s="497"/>
      <c r="DU11" s="497"/>
      <c r="DV11" s="497"/>
      <c r="DW11" s="497"/>
    </row>
    <row r="12" spans="1:127" s="651" customFormat="1" ht="19.5" customHeight="1">
      <c r="A12" s="656" t="s">
        <v>670</v>
      </c>
      <c r="B12" s="65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497"/>
      <c r="AM12" s="497"/>
      <c r="AN12" s="497"/>
      <c r="AO12" s="497"/>
      <c r="AP12" s="497"/>
      <c r="AQ12" s="497"/>
      <c r="AR12" s="497"/>
      <c r="AS12" s="497"/>
      <c r="AT12" s="497"/>
      <c r="AU12" s="497"/>
      <c r="AV12" s="497"/>
      <c r="AW12" s="497"/>
      <c r="AX12" s="497"/>
      <c r="AY12" s="497"/>
      <c r="AZ12" s="497"/>
      <c r="BA12" s="497"/>
      <c r="BB12" s="497"/>
      <c r="BC12" s="497"/>
      <c r="BD12" s="497"/>
      <c r="BE12" s="497"/>
      <c r="BF12" s="497"/>
      <c r="BG12" s="497"/>
      <c r="BH12" s="497"/>
      <c r="BI12" s="497"/>
      <c r="BJ12" s="497"/>
      <c r="BK12" s="497"/>
      <c r="BL12" s="497"/>
      <c r="BM12" s="497"/>
      <c r="BN12" s="497"/>
      <c r="BO12" s="497"/>
      <c r="BP12" s="497"/>
      <c r="BQ12" s="497"/>
      <c r="BR12" s="497"/>
      <c r="BS12" s="497"/>
      <c r="BT12" s="497"/>
      <c r="BU12" s="497"/>
      <c r="BV12" s="497"/>
      <c r="BW12" s="497"/>
      <c r="BX12" s="497"/>
      <c r="BY12" s="497"/>
      <c r="BZ12" s="497"/>
      <c r="CA12" s="497"/>
      <c r="CB12" s="497"/>
      <c r="CC12" s="497"/>
      <c r="CD12" s="497"/>
      <c r="CE12" s="497"/>
      <c r="CF12" s="497"/>
      <c r="CG12" s="497"/>
      <c r="CH12" s="497"/>
      <c r="CI12" s="497"/>
      <c r="CJ12" s="497"/>
      <c r="CK12" s="497"/>
      <c r="CL12" s="497"/>
      <c r="CM12" s="497"/>
      <c r="CN12" s="497"/>
      <c r="CO12" s="497"/>
      <c r="CP12" s="497"/>
      <c r="CQ12" s="497"/>
      <c r="CR12" s="497"/>
      <c r="CS12" s="497"/>
      <c r="CT12" s="497"/>
      <c r="CU12" s="497"/>
      <c r="CV12" s="497"/>
      <c r="CW12" s="497"/>
      <c r="CX12" s="497"/>
      <c r="CY12" s="497"/>
      <c r="CZ12" s="497"/>
      <c r="DA12" s="497"/>
      <c r="DB12" s="497"/>
      <c r="DC12" s="497"/>
      <c r="DD12" s="497"/>
      <c r="DE12" s="497"/>
      <c r="DF12" s="497"/>
      <c r="DG12" s="497"/>
      <c r="DH12" s="497"/>
      <c r="DI12" s="497"/>
      <c r="DJ12" s="497"/>
      <c r="DK12" s="497"/>
      <c r="DL12" s="497"/>
      <c r="DM12" s="497"/>
      <c r="DN12" s="497"/>
      <c r="DO12" s="497"/>
      <c r="DP12" s="497"/>
      <c r="DQ12" s="497"/>
      <c r="DR12" s="497"/>
      <c r="DS12" s="497"/>
      <c r="DT12" s="497"/>
      <c r="DU12" s="497"/>
      <c r="DV12" s="497"/>
      <c r="DW12" s="497"/>
    </row>
    <row r="13" spans="1:127" s="651" customFormat="1" ht="17.25" customHeight="1">
      <c r="A13" s="658" t="s">
        <v>671</v>
      </c>
      <c r="B13" s="659"/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7"/>
      <c r="AE13" s="497"/>
      <c r="AF13" s="497"/>
      <c r="AG13" s="497"/>
      <c r="AH13" s="497"/>
      <c r="AI13" s="497"/>
      <c r="AJ13" s="497"/>
      <c r="AK13" s="497"/>
      <c r="AL13" s="497"/>
      <c r="AM13" s="497"/>
      <c r="AN13" s="497"/>
      <c r="AO13" s="497"/>
      <c r="AP13" s="497"/>
      <c r="AQ13" s="497"/>
      <c r="AR13" s="497"/>
      <c r="AS13" s="497"/>
      <c r="AT13" s="497"/>
      <c r="AU13" s="497"/>
      <c r="AV13" s="497"/>
      <c r="AW13" s="497"/>
      <c r="AX13" s="497"/>
      <c r="AY13" s="497"/>
      <c r="AZ13" s="497"/>
      <c r="BA13" s="497"/>
      <c r="BB13" s="497"/>
      <c r="BC13" s="497"/>
      <c r="BD13" s="497"/>
      <c r="BE13" s="497"/>
      <c r="BF13" s="497"/>
      <c r="BG13" s="497"/>
      <c r="BH13" s="497"/>
      <c r="BI13" s="497"/>
      <c r="BJ13" s="497"/>
      <c r="BK13" s="497"/>
      <c r="BL13" s="497"/>
      <c r="BM13" s="497"/>
      <c r="BN13" s="497"/>
      <c r="BO13" s="497"/>
      <c r="BP13" s="497"/>
      <c r="BQ13" s="497"/>
      <c r="BR13" s="497"/>
      <c r="BS13" s="497"/>
      <c r="BT13" s="497"/>
      <c r="BU13" s="497"/>
      <c r="BV13" s="497"/>
      <c r="BW13" s="497"/>
      <c r="BX13" s="497"/>
      <c r="BY13" s="497"/>
      <c r="BZ13" s="497"/>
      <c r="CA13" s="497"/>
      <c r="CB13" s="497"/>
      <c r="CC13" s="497"/>
      <c r="CD13" s="497"/>
      <c r="CE13" s="497"/>
      <c r="CF13" s="497"/>
      <c r="CG13" s="497"/>
      <c r="CH13" s="497"/>
      <c r="CI13" s="497"/>
      <c r="CJ13" s="497"/>
      <c r="CK13" s="497"/>
      <c r="CL13" s="497"/>
      <c r="CM13" s="497"/>
      <c r="CN13" s="497"/>
      <c r="CO13" s="497"/>
      <c r="CP13" s="497"/>
      <c r="CQ13" s="497"/>
      <c r="CR13" s="497"/>
      <c r="CS13" s="497"/>
      <c r="CT13" s="497"/>
      <c r="CU13" s="497"/>
      <c r="CV13" s="497"/>
      <c r="CW13" s="497"/>
      <c r="CX13" s="497"/>
      <c r="CY13" s="497"/>
      <c r="CZ13" s="497"/>
      <c r="DA13" s="497"/>
      <c r="DB13" s="497"/>
      <c r="DC13" s="497"/>
      <c r="DD13" s="497"/>
      <c r="DE13" s="497"/>
      <c r="DF13" s="497"/>
      <c r="DG13" s="497"/>
      <c r="DH13" s="497"/>
      <c r="DI13" s="497"/>
      <c r="DJ13" s="497"/>
      <c r="DK13" s="497"/>
      <c r="DL13" s="497"/>
      <c r="DM13" s="497"/>
      <c r="DN13" s="497"/>
      <c r="DO13" s="497"/>
      <c r="DP13" s="497"/>
      <c r="DQ13" s="497"/>
      <c r="DR13" s="497"/>
      <c r="DS13" s="497"/>
      <c r="DT13" s="497"/>
      <c r="DU13" s="497"/>
      <c r="DV13" s="497"/>
      <c r="DW13" s="497"/>
    </row>
    <row r="14" spans="1:127" s="651" customFormat="1" ht="23.25" customHeight="1">
      <c r="A14" s="654" t="s">
        <v>672</v>
      </c>
      <c r="B14" s="655">
        <v>2462080</v>
      </c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7"/>
      <c r="AE14" s="497"/>
      <c r="AF14" s="497"/>
      <c r="AG14" s="497"/>
      <c r="AH14" s="497"/>
      <c r="AI14" s="497"/>
      <c r="AJ14" s="497"/>
      <c r="AK14" s="497"/>
      <c r="AL14" s="497"/>
      <c r="AM14" s="497"/>
      <c r="AN14" s="497"/>
      <c r="AO14" s="497"/>
      <c r="AP14" s="497"/>
      <c r="AQ14" s="497"/>
      <c r="AR14" s="497"/>
      <c r="AS14" s="497"/>
      <c r="AT14" s="497"/>
      <c r="AU14" s="497"/>
      <c r="AV14" s="497"/>
      <c r="AW14" s="497"/>
      <c r="AX14" s="497"/>
      <c r="AY14" s="497"/>
      <c r="AZ14" s="497"/>
      <c r="BA14" s="497"/>
      <c r="BB14" s="497"/>
      <c r="BC14" s="497"/>
      <c r="BD14" s="497"/>
      <c r="BE14" s="497"/>
      <c r="BF14" s="497"/>
      <c r="BG14" s="497"/>
      <c r="BH14" s="497"/>
      <c r="BI14" s="497"/>
      <c r="BJ14" s="497"/>
      <c r="BK14" s="497"/>
      <c r="BL14" s="497"/>
      <c r="BM14" s="497"/>
      <c r="BN14" s="497"/>
      <c r="BO14" s="497"/>
      <c r="BP14" s="497"/>
      <c r="BQ14" s="497"/>
      <c r="BR14" s="497"/>
      <c r="BS14" s="497"/>
      <c r="BT14" s="497"/>
      <c r="BU14" s="497"/>
      <c r="BV14" s="497"/>
      <c r="BW14" s="497"/>
      <c r="BX14" s="497"/>
      <c r="BY14" s="497"/>
      <c r="BZ14" s="497"/>
      <c r="CA14" s="497"/>
      <c r="CB14" s="497"/>
      <c r="CC14" s="497"/>
      <c r="CD14" s="497"/>
      <c r="CE14" s="497"/>
      <c r="CF14" s="497"/>
      <c r="CG14" s="497"/>
      <c r="CH14" s="497"/>
      <c r="CI14" s="497"/>
      <c r="CJ14" s="497"/>
      <c r="CK14" s="497"/>
      <c r="CL14" s="497"/>
      <c r="CM14" s="497"/>
      <c r="CN14" s="497"/>
      <c r="CO14" s="497"/>
      <c r="CP14" s="497"/>
      <c r="CQ14" s="497"/>
      <c r="CR14" s="497"/>
      <c r="CS14" s="497"/>
      <c r="CT14" s="497"/>
      <c r="CU14" s="497"/>
      <c r="CV14" s="497"/>
      <c r="CW14" s="497"/>
      <c r="CX14" s="497"/>
      <c r="CY14" s="497"/>
      <c r="CZ14" s="497"/>
      <c r="DA14" s="497"/>
      <c r="DB14" s="497"/>
      <c r="DC14" s="497"/>
      <c r="DD14" s="497"/>
      <c r="DE14" s="497"/>
      <c r="DF14" s="497"/>
      <c r="DG14" s="497"/>
      <c r="DH14" s="497"/>
      <c r="DI14" s="497"/>
      <c r="DJ14" s="497"/>
      <c r="DK14" s="497"/>
      <c r="DL14" s="497"/>
      <c r="DM14" s="497"/>
      <c r="DN14" s="497"/>
      <c r="DO14" s="497"/>
      <c r="DP14" s="497"/>
      <c r="DQ14" s="497"/>
      <c r="DR14" s="497"/>
      <c r="DS14" s="497"/>
      <c r="DT14" s="497"/>
      <c r="DU14" s="497"/>
      <c r="DV14" s="497"/>
      <c r="DW14" s="497"/>
    </row>
    <row r="15" spans="1:127" s="651" customFormat="1" ht="23.25" customHeight="1">
      <c r="A15" s="654" t="s">
        <v>673</v>
      </c>
      <c r="B15" s="655">
        <v>8027621</v>
      </c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  <c r="AE15" s="497"/>
      <c r="AF15" s="497"/>
      <c r="AG15" s="497"/>
      <c r="AH15" s="497"/>
      <c r="AI15" s="497"/>
      <c r="AJ15" s="497"/>
      <c r="AK15" s="497"/>
      <c r="AL15" s="497"/>
      <c r="AM15" s="497"/>
      <c r="AN15" s="497"/>
      <c r="AO15" s="497"/>
      <c r="AP15" s="497"/>
      <c r="AQ15" s="497"/>
      <c r="AR15" s="497"/>
      <c r="AS15" s="497"/>
      <c r="AT15" s="497"/>
      <c r="AU15" s="497"/>
      <c r="AV15" s="497"/>
      <c r="AW15" s="497"/>
      <c r="AX15" s="497"/>
      <c r="AY15" s="497"/>
      <c r="AZ15" s="497"/>
      <c r="BA15" s="497"/>
      <c r="BB15" s="497"/>
      <c r="BC15" s="497"/>
      <c r="BD15" s="497"/>
      <c r="BE15" s="497"/>
      <c r="BF15" s="497"/>
      <c r="BG15" s="497"/>
      <c r="BH15" s="497"/>
      <c r="BI15" s="497"/>
      <c r="BJ15" s="497"/>
      <c r="BK15" s="497"/>
      <c r="BL15" s="497"/>
      <c r="BM15" s="497"/>
      <c r="BN15" s="497"/>
      <c r="BO15" s="497"/>
      <c r="BP15" s="497"/>
      <c r="BQ15" s="497"/>
      <c r="BR15" s="497"/>
      <c r="BS15" s="497"/>
      <c r="BT15" s="497"/>
      <c r="BU15" s="497"/>
      <c r="BV15" s="497"/>
      <c r="BW15" s="497"/>
      <c r="BX15" s="497"/>
      <c r="BY15" s="497"/>
      <c r="BZ15" s="497"/>
      <c r="CA15" s="497"/>
      <c r="CB15" s="497"/>
      <c r="CC15" s="497"/>
      <c r="CD15" s="497"/>
      <c r="CE15" s="497"/>
      <c r="CF15" s="497"/>
      <c r="CG15" s="497"/>
      <c r="CH15" s="497"/>
      <c r="CI15" s="497"/>
      <c r="CJ15" s="497"/>
      <c r="CK15" s="497"/>
      <c r="CL15" s="497"/>
      <c r="CM15" s="497"/>
      <c r="CN15" s="497"/>
      <c r="CO15" s="497"/>
      <c r="CP15" s="497"/>
      <c r="CQ15" s="497"/>
      <c r="CR15" s="497"/>
      <c r="CS15" s="497"/>
      <c r="CT15" s="497"/>
      <c r="CU15" s="497"/>
      <c r="CV15" s="497"/>
      <c r="CW15" s="497"/>
      <c r="CX15" s="497"/>
      <c r="CY15" s="497"/>
      <c r="CZ15" s="497"/>
      <c r="DA15" s="497"/>
      <c r="DB15" s="497"/>
      <c r="DC15" s="497"/>
      <c r="DD15" s="497"/>
      <c r="DE15" s="497"/>
      <c r="DF15" s="497"/>
      <c r="DG15" s="497"/>
      <c r="DH15" s="497"/>
      <c r="DI15" s="497"/>
      <c r="DJ15" s="497"/>
      <c r="DK15" s="497"/>
      <c r="DL15" s="497"/>
      <c r="DM15" s="497"/>
      <c r="DN15" s="497"/>
      <c r="DO15" s="497"/>
      <c r="DP15" s="497"/>
      <c r="DQ15" s="497"/>
      <c r="DR15" s="497"/>
      <c r="DS15" s="497"/>
      <c r="DT15" s="497"/>
      <c r="DU15" s="497"/>
      <c r="DV15" s="497"/>
      <c r="DW15" s="497"/>
    </row>
    <row r="16" spans="1:127" s="651" customFormat="1" ht="23.25" customHeight="1">
      <c r="A16" s="654" t="s">
        <v>674</v>
      </c>
      <c r="B16" s="655"/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497"/>
      <c r="AH16" s="497"/>
      <c r="AI16" s="497"/>
      <c r="AJ16" s="497"/>
      <c r="AK16" s="497"/>
      <c r="AL16" s="497"/>
      <c r="AM16" s="497"/>
      <c r="AN16" s="497"/>
      <c r="AO16" s="497"/>
      <c r="AP16" s="497"/>
      <c r="AQ16" s="497"/>
      <c r="AR16" s="497"/>
      <c r="AS16" s="497"/>
      <c r="AT16" s="497"/>
      <c r="AU16" s="497"/>
      <c r="AV16" s="497"/>
      <c r="AW16" s="497"/>
      <c r="AX16" s="497"/>
      <c r="AY16" s="497"/>
      <c r="AZ16" s="497"/>
      <c r="BA16" s="497"/>
      <c r="BB16" s="497"/>
      <c r="BC16" s="497"/>
      <c r="BD16" s="497"/>
      <c r="BE16" s="497"/>
      <c r="BF16" s="497"/>
      <c r="BG16" s="497"/>
      <c r="BH16" s="497"/>
      <c r="BI16" s="497"/>
      <c r="BJ16" s="497"/>
      <c r="BK16" s="497"/>
      <c r="BL16" s="497"/>
      <c r="BM16" s="497"/>
      <c r="BN16" s="497"/>
      <c r="BO16" s="497"/>
      <c r="BP16" s="497"/>
      <c r="BQ16" s="497"/>
      <c r="BR16" s="497"/>
      <c r="BS16" s="497"/>
      <c r="BT16" s="497"/>
      <c r="BU16" s="497"/>
      <c r="BV16" s="497"/>
      <c r="BW16" s="497"/>
      <c r="BX16" s="497"/>
      <c r="BY16" s="497"/>
      <c r="BZ16" s="497"/>
      <c r="CA16" s="497"/>
      <c r="CB16" s="497"/>
      <c r="CC16" s="497"/>
      <c r="CD16" s="497"/>
      <c r="CE16" s="497"/>
      <c r="CF16" s="497"/>
      <c r="CG16" s="497"/>
      <c r="CH16" s="497"/>
      <c r="CI16" s="497"/>
      <c r="CJ16" s="497"/>
      <c r="CK16" s="497"/>
      <c r="CL16" s="497"/>
      <c r="CM16" s="497"/>
      <c r="CN16" s="497"/>
      <c r="CO16" s="497"/>
      <c r="CP16" s="497"/>
      <c r="CQ16" s="497"/>
      <c r="CR16" s="497"/>
      <c r="CS16" s="497"/>
      <c r="CT16" s="497"/>
      <c r="CU16" s="497"/>
      <c r="CV16" s="497"/>
      <c r="CW16" s="497"/>
      <c r="CX16" s="497"/>
      <c r="CY16" s="497"/>
      <c r="CZ16" s="497"/>
      <c r="DA16" s="497"/>
      <c r="DB16" s="497"/>
      <c r="DC16" s="497"/>
      <c r="DD16" s="497"/>
      <c r="DE16" s="497"/>
      <c r="DF16" s="497"/>
      <c r="DG16" s="497"/>
      <c r="DH16" s="497"/>
      <c r="DI16" s="497"/>
      <c r="DJ16" s="497"/>
      <c r="DK16" s="497"/>
      <c r="DL16" s="497"/>
      <c r="DM16" s="497"/>
      <c r="DN16" s="497"/>
      <c r="DO16" s="497"/>
      <c r="DP16" s="497"/>
      <c r="DQ16" s="497"/>
      <c r="DR16" s="497"/>
      <c r="DS16" s="497"/>
      <c r="DT16" s="497"/>
      <c r="DU16" s="497"/>
      <c r="DV16" s="497"/>
      <c r="DW16" s="497"/>
    </row>
    <row r="17" spans="1:127" s="651" customFormat="1" ht="23.25" customHeight="1">
      <c r="A17" s="660" t="s">
        <v>675</v>
      </c>
      <c r="B17" s="653">
        <f>SUM(B18:B19)</f>
        <v>10492722</v>
      </c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AQ17" s="497"/>
      <c r="AR17" s="497"/>
      <c r="AS17" s="497"/>
      <c r="AT17" s="497"/>
      <c r="AU17" s="497"/>
      <c r="AV17" s="497"/>
      <c r="AW17" s="497"/>
      <c r="AX17" s="497"/>
      <c r="AY17" s="497"/>
      <c r="AZ17" s="497"/>
      <c r="BA17" s="497"/>
      <c r="BB17" s="497"/>
      <c r="BC17" s="497"/>
      <c r="BD17" s="497"/>
      <c r="BE17" s="497"/>
      <c r="BF17" s="497"/>
      <c r="BG17" s="497"/>
      <c r="BH17" s="497"/>
      <c r="BI17" s="497"/>
      <c r="BJ17" s="497"/>
      <c r="BK17" s="497"/>
      <c r="BL17" s="497"/>
      <c r="BM17" s="497"/>
      <c r="BN17" s="497"/>
      <c r="BO17" s="497"/>
      <c r="BP17" s="497"/>
      <c r="BQ17" s="497"/>
      <c r="BR17" s="497"/>
      <c r="BS17" s="497"/>
      <c r="BT17" s="497"/>
      <c r="BU17" s="497"/>
      <c r="BV17" s="497"/>
      <c r="BW17" s="497"/>
      <c r="BX17" s="497"/>
      <c r="BY17" s="497"/>
      <c r="BZ17" s="497"/>
      <c r="CA17" s="497"/>
      <c r="CB17" s="497"/>
      <c r="CC17" s="497"/>
      <c r="CD17" s="497"/>
      <c r="CE17" s="497"/>
      <c r="CF17" s="497"/>
      <c r="CG17" s="497"/>
      <c r="CH17" s="497"/>
      <c r="CI17" s="497"/>
      <c r="CJ17" s="497"/>
      <c r="CK17" s="497"/>
      <c r="CL17" s="497"/>
      <c r="CM17" s="497"/>
      <c r="CN17" s="497"/>
      <c r="CO17" s="497"/>
      <c r="CP17" s="497"/>
      <c r="CQ17" s="497"/>
      <c r="CR17" s="497"/>
      <c r="CS17" s="497"/>
      <c r="CT17" s="497"/>
      <c r="CU17" s="497"/>
      <c r="CV17" s="497"/>
      <c r="CW17" s="497"/>
      <c r="CX17" s="497"/>
      <c r="CY17" s="497"/>
      <c r="CZ17" s="497"/>
      <c r="DA17" s="497"/>
      <c r="DB17" s="497"/>
      <c r="DC17" s="497"/>
      <c r="DD17" s="497"/>
      <c r="DE17" s="497"/>
      <c r="DF17" s="497"/>
      <c r="DG17" s="497"/>
      <c r="DH17" s="497"/>
      <c r="DI17" s="497"/>
      <c r="DJ17" s="497"/>
      <c r="DK17" s="497"/>
      <c r="DL17" s="497"/>
      <c r="DM17" s="497"/>
      <c r="DN17" s="497"/>
      <c r="DO17" s="497"/>
      <c r="DP17" s="497"/>
      <c r="DQ17" s="497"/>
      <c r="DR17" s="497"/>
      <c r="DS17" s="497"/>
      <c r="DT17" s="497"/>
      <c r="DU17" s="497"/>
      <c r="DV17" s="497"/>
      <c r="DW17" s="497"/>
    </row>
    <row r="18" spans="1:127" s="651" customFormat="1" ht="23.25" customHeight="1">
      <c r="A18" s="654" t="s">
        <v>676</v>
      </c>
      <c r="B18" s="655">
        <v>10492722</v>
      </c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7"/>
      <c r="AV18" s="497"/>
      <c r="AW18" s="497"/>
      <c r="AX18" s="497"/>
      <c r="AY18" s="497"/>
      <c r="AZ18" s="497"/>
      <c r="BA18" s="497"/>
      <c r="BB18" s="497"/>
      <c r="BC18" s="497"/>
      <c r="BD18" s="497"/>
      <c r="BE18" s="497"/>
      <c r="BF18" s="497"/>
      <c r="BG18" s="497"/>
      <c r="BH18" s="497"/>
      <c r="BI18" s="497"/>
      <c r="BJ18" s="497"/>
      <c r="BK18" s="497"/>
      <c r="BL18" s="497"/>
      <c r="BM18" s="497"/>
      <c r="BN18" s="497"/>
      <c r="BO18" s="497"/>
      <c r="BP18" s="497"/>
      <c r="BQ18" s="497"/>
      <c r="BR18" s="497"/>
      <c r="BS18" s="497"/>
      <c r="BT18" s="497"/>
      <c r="BU18" s="497"/>
      <c r="BV18" s="497"/>
      <c r="BW18" s="497"/>
      <c r="BX18" s="497"/>
      <c r="BY18" s="497"/>
      <c r="BZ18" s="497"/>
      <c r="CA18" s="497"/>
      <c r="CB18" s="497"/>
      <c r="CC18" s="497"/>
      <c r="CD18" s="497"/>
      <c r="CE18" s="497"/>
      <c r="CF18" s="497"/>
      <c r="CG18" s="497"/>
      <c r="CH18" s="497"/>
      <c r="CI18" s="497"/>
      <c r="CJ18" s="497"/>
      <c r="CK18" s="497"/>
      <c r="CL18" s="497"/>
      <c r="CM18" s="497"/>
      <c r="CN18" s="497"/>
      <c r="CO18" s="497"/>
      <c r="CP18" s="497"/>
      <c r="CQ18" s="497"/>
      <c r="CR18" s="497"/>
      <c r="CS18" s="497"/>
      <c r="CT18" s="497"/>
      <c r="CU18" s="497"/>
      <c r="CV18" s="497"/>
      <c r="CW18" s="497"/>
      <c r="CX18" s="497"/>
      <c r="CY18" s="497"/>
      <c r="CZ18" s="497"/>
      <c r="DA18" s="497"/>
      <c r="DB18" s="497"/>
      <c r="DC18" s="497"/>
      <c r="DD18" s="497"/>
      <c r="DE18" s="497"/>
      <c r="DF18" s="497"/>
      <c r="DG18" s="497"/>
      <c r="DH18" s="497"/>
      <c r="DI18" s="497"/>
      <c r="DJ18" s="497"/>
      <c r="DK18" s="497"/>
      <c r="DL18" s="497"/>
      <c r="DM18" s="497"/>
      <c r="DN18" s="497"/>
      <c r="DO18" s="497"/>
      <c r="DP18" s="497"/>
      <c r="DQ18" s="497"/>
      <c r="DR18" s="497"/>
      <c r="DS18" s="497"/>
      <c r="DT18" s="497"/>
      <c r="DU18" s="497"/>
      <c r="DV18" s="497"/>
      <c r="DW18" s="497"/>
    </row>
    <row r="19" spans="1:127" s="651" customFormat="1" ht="23.25" customHeight="1">
      <c r="A19" s="654" t="s">
        <v>677</v>
      </c>
      <c r="B19" s="655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7"/>
      <c r="AV19" s="497"/>
      <c r="AW19" s="497"/>
      <c r="AX19" s="497"/>
      <c r="AY19" s="497"/>
      <c r="AZ19" s="497"/>
      <c r="BA19" s="497"/>
      <c r="BB19" s="497"/>
      <c r="BC19" s="497"/>
      <c r="BD19" s="497"/>
      <c r="BE19" s="497"/>
      <c r="BF19" s="497"/>
      <c r="BG19" s="497"/>
      <c r="BH19" s="497"/>
      <c r="BI19" s="497"/>
      <c r="BJ19" s="497"/>
      <c r="BK19" s="497"/>
      <c r="BL19" s="497"/>
      <c r="BM19" s="497"/>
      <c r="BN19" s="497"/>
      <c r="BO19" s="497"/>
      <c r="BP19" s="497"/>
      <c r="BQ19" s="497"/>
      <c r="BR19" s="497"/>
      <c r="BS19" s="497"/>
      <c r="BT19" s="497"/>
      <c r="BU19" s="497"/>
      <c r="BV19" s="497"/>
      <c r="BW19" s="497"/>
      <c r="BX19" s="497"/>
      <c r="BY19" s="497"/>
      <c r="BZ19" s="497"/>
      <c r="CA19" s="497"/>
      <c r="CB19" s="497"/>
      <c r="CC19" s="497"/>
      <c r="CD19" s="497"/>
      <c r="CI19" s="497"/>
      <c r="CJ19" s="497"/>
      <c r="CK19" s="497"/>
      <c r="CL19" s="497"/>
      <c r="CM19" s="497"/>
      <c r="CN19" s="497"/>
      <c r="CO19" s="497"/>
      <c r="CP19" s="497"/>
      <c r="CQ19" s="497"/>
      <c r="CR19" s="497"/>
      <c r="CS19" s="497"/>
      <c r="CT19" s="497"/>
      <c r="CU19" s="497"/>
      <c r="CV19" s="497"/>
      <c r="CW19" s="497"/>
      <c r="CX19" s="497"/>
      <c r="CY19" s="497"/>
      <c r="CZ19" s="497"/>
      <c r="DA19" s="497"/>
      <c r="DB19" s="497"/>
      <c r="DC19" s="497"/>
      <c r="DD19" s="497"/>
      <c r="DE19" s="497"/>
      <c r="DF19" s="497"/>
      <c r="DG19" s="497"/>
      <c r="DH19" s="497"/>
      <c r="DI19" s="497"/>
      <c r="DJ19" s="497"/>
      <c r="DK19" s="497"/>
      <c r="DL19" s="497"/>
      <c r="DM19" s="497"/>
      <c r="DN19" s="497"/>
      <c r="DO19" s="497"/>
      <c r="DP19" s="497"/>
      <c r="DQ19" s="497"/>
      <c r="DR19" s="497"/>
      <c r="DS19" s="497"/>
      <c r="DT19" s="497"/>
      <c r="DU19" s="497"/>
      <c r="DV19" s="497"/>
      <c r="DW19" s="497"/>
    </row>
    <row r="20" spans="1:97" s="651" customFormat="1" ht="23.25" customHeight="1">
      <c r="A20" s="661" t="s">
        <v>678</v>
      </c>
      <c r="B20" s="662">
        <f>SUM(B10-B17)</f>
        <v>6161</v>
      </c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7"/>
      <c r="AL20" s="497"/>
      <c r="AM20" s="497"/>
      <c r="AN20" s="497"/>
      <c r="AO20" s="497"/>
      <c r="AP20" s="497"/>
      <c r="AQ20" s="497"/>
      <c r="AR20" s="497"/>
      <c r="AS20" s="497"/>
      <c r="AT20" s="497"/>
      <c r="AU20" s="497"/>
      <c r="AV20" s="497"/>
      <c r="AW20" s="497"/>
      <c r="AX20" s="497"/>
      <c r="AY20" s="497"/>
      <c r="AZ20" s="497"/>
      <c r="BA20" s="497"/>
      <c r="BB20" s="497"/>
      <c r="BC20" s="497"/>
      <c r="BD20" s="497"/>
      <c r="BE20" s="497"/>
      <c r="BF20" s="497"/>
      <c r="BG20" s="497"/>
      <c r="BH20" s="497"/>
      <c r="BI20" s="497"/>
      <c r="BJ20" s="497"/>
      <c r="BK20" s="497"/>
      <c r="BL20" s="497"/>
      <c r="BM20" s="497"/>
      <c r="BN20" s="497"/>
      <c r="BO20" s="497"/>
      <c r="BP20" s="497"/>
      <c r="BQ20" s="497"/>
      <c r="BR20" s="497"/>
      <c r="BS20" s="497"/>
      <c r="BT20" s="497"/>
      <c r="BU20" s="497"/>
      <c r="BV20" s="497"/>
      <c r="BW20" s="497"/>
      <c r="BX20" s="497"/>
      <c r="BY20" s="497"/>
      <c r="BZ20" s="497"/>
      <c r="CA20" s="497"/>
      <c r="CB20" s="497"/>
      <c r="CC20" s="497"/>
      <c r="CD20" s="497"/>
      <c r="CI20" s="497"/>
      <c r="CJ20" s="497"/>
      <c r="CK20" s="497"/>
      <c r="CL20" s="497"/>
      <c r="CM20" s="497"/>
      <c r="CN20" s="497"/>
      <c r="CO20" s="497"/>
      <c r="CP20" s="497"/>
      <c r="CQ20" s="497"/>
      <c r="CR20" s="497"/>
      <c r="CS20" s="497"/>
    </row>
    <row r="21" spans="1:97" s="602" customFormat="1" ht="12.75">
      <c r="A21" s="642"/>
      <c r="B21" s="642"/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7"/>
      <c r="AM21" s="497"/>
      <c r="AN21" s="497"/>
      <c r="AO21" s="497"/>
      <c r="AP21" s="497"/>
      <c r="AQ21" s="497"/>
      <c r="AR21" s="497"/>
      <c r="AS21" s="497"/>
      <c r="AT21" s="497"/>
      <c r="AU21" s="497"/>
      <c r="AV21" s="497"/>
      <c r="AW21" s="497"/>
      <c r="AX21" s="497"/>
      <c r="AY21" s="497"/>
      <c r="AZ21" s="497"/>
      <c r="BA21" s="497"/>
      <c r="BB21" s="497"/>
      <c r="BC21" s="497"/>
      <c r="BD21" s="497"/>
      <c r="BE21" s="497"/>
      <c r="BF21" s="497"/>
      <c r="BG21" s="497"/>
      <c r="BH21" s="497"/>
      <c r="BI21" s="497"/>
      <c r="BJ21" s="497"/>
      <c r="BK21" s="497"/>
      <c r="BL21" s="497"/>
      <c r="BM21" s="497"/>
      <c r="BN21" s="497"/>
      <c r="BO21" s="497"/>
      <c r="BP21" s="497"/>
      <c r="BQ21" s="497"/>
      <c r="BR21" s="497"/>
      <c r="BS21" s="497"/>
      <c r="BT21" s="497"/>
      <c r="BU21" s="497"/>
      <c r="BV21" s="497"/>
      <c r="BW21" s="497"/>
      <c r="BX21" s="497"/>
      <c r="BY21" s="497"/>
      <c r="BZ21" s="497"/>
      <c r="CA21" s="497"/>
      <c r="CB21" s="497"/>
      <c r="CC21" s="497"/>
      <c r="CD21" s="497"/>
      <c r="CI21" s="497"/>
      <c r="CJ21" s="497"/>
      <c r="CK21" s="497"/>
      <c r="CL21" s="497"/>
      <c r="CM21" s="497"/>
      <c r="CN21" s="497"/>
      <c r="CO21" s="497"/>
      <c r="CP21" s="497"/>
      <c r="CQ21" s="497"/>
      <c r="CR21" s="497"/>
      <c r="CS21" s="497"/>
    </row>
    <row r="22" spans="1:97" s="602" customFormat="1" ht="12.75">
      <c r="A22" s="642"/>
      <c r="B22" s="642"/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7"/>
      <c r="AL22" s="497"/>
      <c r="AM22" s="497"/>
      <c r="AN22" s="497"/>
      <c r="AO22" s="497"/>
      <c r="AP22" s="497"/>
      <c r="AQ22" s="497"/>
      <c r="AR22" s="497"/>
      <c r="AS22" s="497"/>
      <c r="AT22" s="497"/>
      <c r="AU22" s="497"/>
      <c r="AV22" s="497"/>
      <c r="AW22" s="497"/>
      <c r="AX22" s="497"/>
      <c r="AY22" s="497"/>
      <c r="AZ22" s="497"/>
      <c r="BA22" s="497"/>
      <c r="BB22" s="497"/>
      <c r="BC22" s="497"/>
      <c r="BD22" s="497"/>
      <c r="BE22" s="497"/>
      <c r="BF22" s="497"/>
      <c r="BG22" s="497"/>
      <c r="BH22" s="497"/>
      <c r="BI22" s="497"/>
      <c r="BJ22" s="497"/>
      <c r="BK22" s="497"/>
      <c r="BL22" s="497"/>
      <c r="BM22" s="497"/>
      <c r="BN22" s="497"/>
      <c r="BO22" s="497"/>
      <c r="BP22" s="497"/>
      <c r="BQ22" s="497"/>
      <c r="BR22" s="497"/>
      <c r="BS22" s="497"/>
      <c r="BT22" s="497"/>
      <c r="BU22" s="497"/>
      <c r="BV22" s="497"/>
      <c r="BW22" s="497"/>
      <c r="BX22" s="497"/>
      <c r="BY22" s="497"/>
      <c r="BZ22" s="497"/>
      <c r="CA22" s="497"/>
      <c r="CB22" s="497"/>
      <c r="CC22" s="497"/>
      <c r="CD22" s="497"/>
      <c r="CI22" s="497"/>
      <c r="CJ22" s="497"/>
      <c r="CK22" s="497"/>
      <c r="CL22" s="497"/>
      <c r="CM22" s="497"/>
      <c r="CN22" s="497"/>
      <c r="CO22" s="497"/>
      <c r="CP22" s="497"/>
      <c r="CQ22" s="497"/>
      <c r="CR22" s="497"/>
      <c r="CS22" s="497"/>
    </row>
    <row r="23" spans="1:82" s="602" customFormat="1" ht="12.75">
      <c r="A23" s="642"/>
      <c r="B23" s="642"/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7"/>
      <c r="AL23" s="497"/>
      <c r="AM23" s="497"/>
      <c r="AN23" s="497"/>
      <c r="AO23" s="497"/>
      <c r="AP23" s="497"/>
      <c r="AQ23" s="497"/>
      <c r="AR23" s="497"/>
      <c r="AS23" s="497"/>
      <c r="AT23" s="497"/>
      <c r="AU23" s="497"/>
      <c r="AV23" s="497"/>
      <c r="AW23" s="497"/>
      <c r="AX23" s="497"/>
      <c r="AY23" s="497"/>
      <c r="AZ23" s="497"/>
      <c r="BA23" s="497"/>
      <c r="BB23" s="497"/>
      <c r="BC23" s="497"/>
      <c r="BD23" s="497"/>
      <c r="BE23" s="497"/>
      <c r="BF23" s="497"/>
      <c r="BG23" s="497"/>
      <c r="BH23" s="497"/>
      <c r="BI23" s="497"/>
      <c r="BJ23" s="497"/>
      <c r="BK23" s="497"/>
      <c r="BL23" s="497"/>
      <c r="BM23" s="497"/>
      <c r="BN23" s="497"/>
      <c r="BO23" s="497"/>
      <c r="BP23" s="497"/>
      <c r="BQ23" s="497"/>
      <c r="BR23" s="497"/>
      <c r="BS23" s="497"/>
      <c r="BT23" s="497"/>
      <c r="BU23" s="497"/>
      <c r="BV23" s="497"/>
      <c r="BW23" s="497"/>
      <c r="BX23" s="497"/>
      <c r="BY23" s="497"/>
      <c r="BZ23" s="497"/>
      <c r="CA23" s="497"/>
      <c r="CB23" s="497"/>
      <c r="CC23" s="497"/>
      <c r="CD23" s="497"/>
    </row>
    <row r="24" spans="1:82" s="602" customFormat="1" ht="12.75">
      <c r="A24" s="642"/>
      <c r="B24" s="642"/>
      <c r="C24" s="497"/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C24" s="497"/>
      <c r="AD24" s="497"/>
      <c r="AE24" s="497"/>
      <c r="AF24" s="497"/>
      <c r="AG24" s="497"/>
      <c r="AH24" s="497"/>
      <c r="AI24" s="497"/>
      <c r="AJ24" s="497"/>
      <c r="AK24" s="497"/>
      <c r="AL24" s="497"/>
      <c r="AM24" s="497"/>
      <c r="AN24" s="497"/>
      <c r="AO24" s="497"/>
      <c r="AP24" s="497"/>
      <c r="AQ24" s="497"/>
      <c r="AR24" s="497"/>
      <c r="AS24" s="497"/>
      <c r="AT24" s="497"/>
      <c r="AU24" s="497"/>
      <c r="AV24" s="497"/>
      <c r="AW24" s="497"/>
      <c r="AX24" s="497"/>
      <c r="AY24" s="497"/>
      <c r="AZ24" s="497"/>
      <c r="BA24" s="497"/>
      <c r="BB24" s="497"/>
      <c r="BC24" s="497"/>
      <c r="BD24" s="497"/>
      <c r="BE24" s="497"/>
      <c r="BF24" s="497"/>
      <c r="BG24" s="497"/>
      <c r="BH24" s="497"/>
      <c r="BI24" s="497"/>
      <c r="BJ24" s="497"/>
      <c r="BK24" s="497"/>
      <c r="BL24" s="497"/>
      <c r="BM24" s="497"/>
      <c r="BN24" s="497"/>
      <c r="BO24" s="497"/>
      <c r="BP24" s="497"/>
      <c r="BQ24" s="497"/>
      <c r="BR24" s="497"/>
      <c r="BS24" s="497"/>
      <c r="BT24" s="497"/>
      <c r="BU24" s="497"/>
      <c r="BV24" s="497"/>
      <c r="BW24" s="497"/>
      <c r="BX24" s="497"/>
      <c r="BY24" s="497"/>
      <c r="BZ24" s="497"/>
      <c r="CA24" s="497"/>
      <c r="CB24" s="497"/>
      <c r="CC24" s="497"/>
      <c r="CD24" s="497"/>
    </row>
    <row r="25" spans="1:82" s="642" customFormat="1" ht="12.75">
      <c r="A25" s="602" t="s">
        <v>679</v>
      </c>
      <c r="B25" s="496" t="s">
        <v>511</v>
      </c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497"/>
      <c r="U25" s="497"/>
      <c r="V25" s="497"/>
      <c r="W25" s="497"/>
      <c r="X25" s="497"/>
      <c r="Y25" s="497"/>
      <c r="Z25" s="497"/>
      <c r="AA25" s="497"/>
      <c r="AB25" s="497"/>
      <c r="AC25" s="497"/>
      <c r="AD25" s="497"/>
      <c r="AE25" s="497"/>
      <c r="AF25" s="497"/>
      <c r="AG25" s="497"/>
      <c r="AH25" s="497"/>
      <c r="AI25" s="497"/>
      <c r="AJ25" s="497"/>
      <c r="AK25" s="497"/>
      <c r="AL25" s="497"/>
      <c r="AM25" s="497"/>
      <c r="AN25" s="497"/>
      <c r="AO25" s="497"/>
      <c r="AP25" s="497"/>
      <c r="AQ25" s="497"/>
      <c r="AR25" s="497"/>
      <c r="AS25" s="497"/>
      <c r="AT25" s="497"/>
      <c r="AU25" s="497"/>
      <c r="AV25" s="497"/>
      <c r="AW25" s="497"/>
      <c r="AX25" s="497"/>
      <c r="AY25" s="497"/>
      <c r="AZ25" s="497"/>
      <c r="BA25" s="497"/>
      <c r="BB25" s="497"/>
      <c r="BC25" s="497"/>
      <c r="BD25" s="497"/>
      <c r="BE25" s="497"/>
      <c r="BF25" s="497"/>
      <c r="BG25" s="497"/>
      <c r="BH25" s="497"/>
      <c r="BI25" s="497"/>
      <c r="BJ25" s="497"/>
      <c r="BK25" s="497"/>
      <c r="BL25" s="497"/>
      <c r="BM25" s="497"/>
      <c r="BN25" s="497"/>
      <c r="BO25" s="497"/>
      <c r="BP25" s="497"/>
      <c r="BQ25" s="497"/>
      <c r="BR25" s="497"/>
      <c r="BS25" s="497"/>
      <c r="BT25" s="497"/>
      <c r="BU25" s="497"/>
      <c r="BV25" s="497"/>
      <c r="BW25" s="497"/>
      <c r="BX25" s="497"/>
      <c r="BY25" s="497"/>
      <c r="BZ25" s="497"/>
      <c r="CA25" s="497"/>
      <c r="CB25" s="497"/>
      <c r="CC25" s="497"/>
      <c r="CD25" s="497"/>
    </row>
    <row r="26" spans="1:82" s="642" customFormat="1" ht="12.75">
      <c r="A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7"/>
      <c r="AL26" s="497"/>
      <c r="AM26" s="497"/>
      <c r="AN26" s="497"/>
      <c r="AO26" s="497"/>
      <c r="AP26" s="497"/>
      <c r="AQ26" s="497"/>
      <c r="AR26" s="497"/>
      <c r="AS26" s="497"/>
      <c r="AT26" s="497"/>
      <c r="AU26" s="497"/>
      <c r="AV26" s="497"/>
      <c r="AW26" s="497"/>
      <c r="AX26" s="497"/>
      <c r="AY26" s="497"/>
      <c r="AZ26" s="497"/>
      <c r="BA26" s="497"/>
      <c r="BB26" s="497"/>
      <c r="BC26" s="497"/>
      <c r="BD26" s="497"/>
      <c r="BE26" s="497"/>
      <c r="BF26" s="497"/>
      <c r="BG26" s="497"/>
      <c r="BH26" s="497"/>
      <c r="BI26" s="497"/>
      <c r="BJ26" s="497"/>
      <c r="BK26" s="497"/>
      <c r="BL26" s="497"/>
      <c r="BM26" s="497"/>
      <c r="BN26" s="497"/>
      <c r="BO26" s="497"/>
      <c r="BP26" s="497"/>
      <c r="BQ26" s="497"/>
      <c r="BR26" s="497"/>
      <c r="BS26" s="497"/>
      <c r="BT26" s="497"/>
      <c r="BU26" s="497"/>
      <c r="BV26" s="497"/>
      <c r="BW26" s="497"/>
      <c r="BX26" s="497"/>
      <c r="BY26" s="497"/>
      <c r="BZ26" s="497"/>
      <c r="CA26" s="497"/>
      <c r="CB26" s="497"/>
      <c r="CC26" s="497"/>
      <c r="CD26" s="497"/>
    </row>
    <row r="27" s="497" customFormat="1" ht="12"/>
    <row r="28" spans="1:2" s="497" customFormat="1" ht="14.25">
      <c r="A28" s="663"/>
      <c r="B28" s="664"/>
    </row>
    <row r="29" spans="1:2" s="497" customFormat="1" ht="14.25">
      <c r="A29" s="663"/>
      <c r="B29" s="664"/>
    </row>
    <row r="30" spans="1:2" s="497" customFormat="1" ht="14.25">
      <c r="A30" s="663"/>
      <c r="B30" s="665"/>
    </row>
    <row r="31" s="497" customFormat="1" ht="14.25">
      <c r="A31" s="663"/>
    </row>
    <row r="32" s="497" customFormat="1" ht="14.25">
      <c r="A32" s="663"/>
    </row>
    <row r="33" s="497" customFormat="1" ht="14.25">
      <c r="A33" s="663"/>
    </row>
    <row r="34" s="497" customFormat="1" ht="14.25">
      <c r="A34" s="663"/>
    </row>
    <row r="35" s="497" customFormat="1" ht="14.25">
      <c r="A35" s="663"/>
    </row>
    <row r="36" s="497" customFormat="1" ht="14.25">
      <c r="A36" s="663"/>
    </row>
    <row r="37" s="497" customFormat="1" ht="14.25">
      <c r="A37" s="663"/>
    </row>
    <row r="38" s="497" customFormat="1" ht="14.25">
      <c r="A38" s="663"/>
    </row>
    <row r="39" s="497" customFormat="1" ht="14.25">
      <c r="A39" s="663"/>
    </row>
    <row r="40" spans="1:82" ht="14.25">
      <c r="A40" s="663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7"/>
      <c r="AH40" s="497"/>
      <c r="AI40" s="497"/>
      <c r="AJ40" s="497"/>
      <c r="AK40" s="497"/>
      <c r="AL40" s="497"/>
      <c r="AM40" s="497"/>
      <c r="AN40" s="497"/>
      <c r="AO40" s="497"/>
      <c r="AP40" s="497"/>
      <c r="AQ40" s="497"/>
      <c r="AR40" s="497"/>
      <c r="AS40" s="497"/>
      <c r="AT40" s="497"/>
      <c r="AU40" s="497"/>
      <c r="AV40" s="497"/>
      <c r="AW40" s="497"/>
      <c r="AX40" s="497"/>
      <c r="AY40" s="497"/>
      <c r="AZ40" s="497"/>
      <c r="BA40" s="497"/>
      <c r="BB40" s="497"/>
      <c r="BC40" s="497"/>
      <c r="BD40" s="497"/>
      <c r="BE40" s="497"/>
      <c r="BF40" s="497"/>
      <c r="BG40" s="497"/>
      <c r="BH40" s="497"/>
      <c r="BI40" s="497"/>
      <c r="BJ40" s="497"/>
      <c r="BK40" s="497"/>
      <c r="BL40" s="497"/>
      <c r="BM40" s="497"/>
      <c r="BN40" s="497"/>
      <c r="BO40" s="497"/>
      <c r="BP40" s="497"/>
      <c r="BQ40" s="497"/>
      <c r="BR40" s="497"/>
      <c r="BS40" s="497"/>
      <c r="BT40" s="497"/>
      <c r="BU40" s="497"/>
      <c r="BV40" s="497"/>
      <c r="BW40" s="497"/>
      <c r="BX40" s="497"/>
      <c r="BY40" s="497"/>
      <c r="BZ40" s="497"/>
      <c r="CA40" s="497"/>
      <c r="CB40" s="497"/>
      <c r="CC40" s="497"/>
      <c r="CD40" s="497"/>
    </row>
    <row r="41" spans="1:82" ht="14.25">
      <c r="A41" s="663"/>
      <c r="L41" s="497"/>
      <c r="M41" s="497"/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  <c r="AC41" s="497"/>
      <c r="AD41" s="497"/>
      <c r="AE41" s="497"/>
      <c r="AF41" s="497"/>
      <c r="AG41" s="497"/>
      <c r="AH41" s="497"/>
      <c r="AI41" s="497"/>
      <c r="AJ41" s="497"/>
      <c r="AK41" s="497"/>
      <c r="AL41" s="497"/>
      <c r="AM41" s="497"/>
      <c r="AN41" s="497"/>
      <c r="AO41" s="497"/>
      <c r="AP41" s="497"/>
      <c r="AQ41" s="497"/>
      <c r="AR41" s="497"/>
      <c r="AS41" s="497"/>
      <c r="AT41" s="497"/>
      <c r="AU41" s="497"/>
      <c r="AV41" s="497"/>
      <c r="AW41" s="497"/>
      <c r="AX41" s="497"/>
      <c r="AY41" s="497"/>
      <c r="AZ41" s="497"/>
      <c r="BA41" s="497"/>
      <c r="BB41" s="497"/>
      <c r="BC41" s="497"/>
      <c r="BD41" s="497"/>
      <c r="BE41" s="497"/>
      <c r="BF41" s="497"/>
      <c r="BG41" s="497"/>
      <c r="BH41" s="497"/>
      <c r="BI41" s="497"/>
      <c r="BJ41" s="497"/>
      <c r="BK41" s="497"/>
      <c r="BL41" s="497"/>
      <c r="BM41" s="497"/>
      <c r="BN41" s="497"/>
      <c r="BO41" s="497"/>
      <c r="BP41" s="497"/>
      <c r="BQ41" s="497"/>
      <c r="BR41" s="497"/>
      <c r="BS41" s="497"/>
      <c r="BT41" s="497"/>
      <c r="BU41" s="497"/>
      <c r="BV41" s="497"/>
      <c r="BW41" s="497"/>
      <c r="BX41" s="497"/>
      <c r="BY41" s="497"/>
      <c r="BZ41" s="497"/>
      <c r="CA41" s="497"/>
      <c r="CB41" s="497"/>
      <c r="CC41" s="497"/>
      <c r="CD41" s="497"/>
    </row>
    <row r="42" spans="1:82" ht="14.25">
      <c r="A42" s="663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  <c r="AG42" s="497"/>
      <c r="AH42" s="497"/>
      <c r="AI42" s="497"/>
      <c r="AJ42" s="497"/>
      <c r="AK42" s="497"/>
      <c r="AL42" s="497"/>
      <c r="AM42" s="497"/>
      <c r="AN42" s="497"/>
      <c r="AO42" s="497"/>
      <c r="AP42" s="497"/>
      <c r="AQ42" s="497"/>
      <c r="AR42" s="497"/>
      <c r="AS42" s="497"/>
      <c r="AT42" s="497"/>
      <c r="AU42" s="497"/>
      <c r="AV42" s="497"/>
      <c r="AW42" s="497"/>
      <c r="AX42" s="497"/>
      <c r="AY42" s="497"/>
      <c r="AZ42" s="497"/>
      <c r="BA42" s="497"/>
      <c r="BB42" s="497"/>
      <c r="BC42" s="497"/>
      <c r="BD42" s="497"/>
      <c r="BE42" s="497"/>
      <c r="BF42" s="497"/>
      <c r="BG42" s="497"/>
      <c r="BH42" s="497"/>
      <c r="BI42" s="497"/>
      <c r="BJ42" s="497"/>
      <c r="BK42" s="497"/>
      <c r="BL42" s="497"/>
      <c r="BM42" s="497"/>
      <c r="BN42" s="497"/>
      <c r="BO42" s="497"/>
      <c r="BP42" s="497"/>
      <c r="BQ42" s="497"/>
      <c r="BR42" s="497"/>
      <c r="BS42" s="497"/>
      <c r="BT42" s="497"/>
      <c r="BU42" s="497"/>
      <c r="BV42" s="497"/>
      <c r="BW42" s="497"/>
      <c r="BX42" s="497"/>
      <c r="BY42" s="497"/>
      <c r="BZ42" s="497"/>
      <c r="CA42" s="497"/>
      <c r="CB42" s="497"/>
      <c r="CC42" s="497"/>
      <c r="CD42" s="497"/>
    </row>
    <row r="43" spans="1:82" ht="14.25">
      <c r="A43" s="663"/>
      <c r="L43" s="497"/>
      <c r="M43" s="497"/>
      <c r="N43" s="497"/>
      <c r="O43" s="497"/>
      <c r="P43" s="497"/>
      <c r="Q43" s="497"/>
      <c r="R43" s="497"/>
      <c r="S43" s="497"/>
      <c r="T43" s="497"/>
      <c r="U43" s="497"/>
      <c r="V43" s="497"/>
      <c r="W43" s="497"/>
      <c r="X43" s="497"/>
      <c r="Y43" s="497"/>
      <c r="Z43" s="497"/>
      <c r="AA43" s="497"/>
      <c r="AB43" s="497"/>
      <c r="AC43" s="497"/>
      <c r="AD43" s="497"/>
      <c r="AE43" s="497"/>
      <c r="AF43" s="497"/>
      <c r="AG43" s="497"/>
      <c r="AH43" s="497"/>
      <c r="AI43" s="497"/>
      <c r="AJ43" s="497"/>
      <c r="AK43" s="497"/>
      <c r="AL43" s="497"/>
      <c r="AM43" s="497"/>
      <c r="AN43" s="497"/>
      <c r="AO43" s="497"/>
      <c r="AP43" s="497"/>
      <c r="AQ43" s="497"/>
      <c r="AR43" s="497"/>
      <c r="AS43" s="497"/>
      <c r="AT43" s="497"/>
      <c r="AU43" s="497"/>
      <c r="AV43" s="497"/>
      <c r="AW43" s="497"/>
      <c r="AX43" s="497"/>
      <c r="AY43" s="497"/>
      <c r="AZ43" s="497"/>
      <c r="BA43" s="497"/>
      <c r="BB43" s="497"/>
      <c r="BC43" s="497"/>
      <c r="BD43" s="497"/>
      <c r="BE43" s="497"/>
      <c r="BF43" s="497"/>
      <c r="BG43" s="497"/>
      <c r="BH43" s="497"/>
      <c r="BI43" s="497"/>
      <c r="BJ43" s="497"/>
      <c r="BK43" s="497"/>
      <c r="BL43" s="497"/>
      <c r="BM43" s="497"/>
      <c r="BN43" s="497"/>
      <c r="BO43" s="497"/>
      <c r="BP43" s="497"/>
      <c r="BQ43" s="497"/>
      <c r="BR43" s="497"/>
      <c r="BS43" s="497"/>
      <c r="BT43" s="497"/>
      <c r="BU43" s="497"/>
      <c r="BV43" s="497"/>
      <c r="BW43" s="497"/>
      <c r="BX43" s="497"/>
      <c r="BY43" s="497"/>
      <c r="BZ43" s="497"/>
      <c r="CA43" s="497"/>
      <c r="CB43" s="497"/>
      <c r="CC43" s="497"/>
      <c r="CD43" s="497"/>
    </row>
    <row r="44" spans="1:82" ht="14.25">
      <c r="A44" s="663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7"/>
      <c r="AE44" s="497"/>
      <c r="AF44" s="497"/>
      <c r="AG44" s="497"/>
      <c r="AH44" s="497"/>
      <c r="AI44" s="497"/>
      <c r="AJ44" s="497"/>
      <c r="AK44" s="497"/>
      <c r="AL44" s="497"/>
      <c r="AM44" s="497"/>
      <c r="AN44" s="497"/>
      <c r="AO44" s="497"/>
      <c r="AP44" s="497"/>
      <c r="AQ44" s="497"/>
      <c r="AR44" s="497"/>
      <c r="AS44" s="497"/>
      <c r="AT44" s="497"/>
      <c r="AU44" s="497"/>
      <c r="AV44" s="497"/>
      <c r="AW44" s="497"/>
      <c r="AX44" s="497"/>
      <c r="AY44" s="497"/>
      <c r="AZ44" s="497"/>
      <c r="BA44" s="497"/>
      <c r="BB44" s="497"/>
      <c r="BC44" s="497"/>
      <c r="BD44" s="497"/>
      <c r="BE44" s="497"/>
      <c r="BF44" s="497"/>
      <c r="BG44" s="497"/>
      <c r="BH44" s="497"/>
      <c r="BI44" s="497"/>
      <c r="BJ44" s="497"/>
      <c r="BK44" s="497"/>
      <c r="BL44" s="497"/>
      <c r="BM44" s="497"/>
      <c r="BN44" s="497"/>
      <c r="BO44" s="497"/>
      <c r="BP44" s="497"/>
      <c r="BQ44" s="497"/>
      <c r="BR44" s="497"/>
      <c r="BS44" s="497"/>
      <c r="BT44" s="497"/>
      <c r="BU44" s="497"/>
      <c r="BV44" s="497"/>
      <c r="BW44" s="497"/>
      <c r="BX44" s="497"/>
      <c r="BY44" s="497"/>
      <c r="BZ44" s="497"/>
      <c r="CA44" s="497"/>
      <c r="CB44" s="497"/>
      <c r="CC44" s="497"/>
      <c r="CD44" s="497"/>
    </row>
    <row r="45" spans="1:82" ht="14.25">
      <c r="A45" s="663"/>
      <c r="L45" s="497"/>
      <c r="M45" s="497"/>
      <c r="N45" s="497"/>
      <c r="O45" s="497"/>
      <c r="P45" s="497"/>
      <c r="Q45" s="497"/>
      <c r="R45" s="497"/>
      <c r="S45" s="497"/>
      <c r="T45" s="497"/>
      <c r="U45" s="497"/>
      <c r="V45" s="497"/>
      <c r="W45" s="497"/>
      <c r="X45" s="497"/>
      <c r="Y45" s="497"/>
      <c r="Z45" s="497"/>
      <c r="AA45" s="497"/>
      <c r="AB45" s="497"/>
      <c r="AC45" s="497"/>
      <c r="AD45" s="497"/>
      <c r="AE45" s="497"/>
      <c r="AF45" s="497"/>
      <c r="AG45" s="497"/>
      <c r="AH45" s="497"/>
      <c r="AI45" s="497"/>
      <c r="AJ45" s="497"/>
      <c r="AK45" s="497"/>
      <c r="AL45" s="497"/>
      <c r="AM45" s="497"/>
      <c r="AN45" s="497"/>
      <c r="AO45" s="497"/>
      <c r="AP45" s="497"/>
      <c r="AQ45" s="497"/>
      <c r="AR45" s="497"/>
      <c r="AS45" s="497"/>
      <c r="AT45" s="497"/>
      <c r="AU45" s="497"/>
      <c r="AV45" s="497"/>
      <c r="AW45" s="497"/>
      <c r="AX45" s="497"/>
      <c r="AY45" s="497"/>
      <c r="AZ45" s="497"/>
      <c r="BA45" s="497"/>
      <c r="BB45" s="497"/>
      <c r="BC45" s="497"/>
      <c r="BD45" s="497"/>
      <c r="BE45" s="497"/>
      <c r="BF45" s="497"/>
      <c r="BG45" s="497"/>
      <c r="BH45" s="497"/>
      <c r="BI45" s="497"/>
      <c r="BJ45" s="497"/>
      <c r="BK45" s="497"/>
      <c r="BL45" s="497"/>
      <c r="BM45" s="497"/>
      <c r="BN45" s="497"/>
      <c r="BO45" s="497"/>
      <c r="BP45" s="497"/>
      <c r="BQ45" s="497"/>
      <c r="BR45" s="497"/>
      <c r="BS45" s="497"/>
      <c r="BT45" s="497"/>
      <c r="BU45" s="497"/>
      <c r="BV45" s="497"/>
      <c r="BW45" s="497"/>
      <c r="BX45" s="497"/>
      <c r="BY45" s="497"/>
      <c r="BZ45" s="497"/>
      <c r="CA45" s="497"/>
      <c r="CB45" s="497"/>
      <c r="CC45" s="497"/>
      <c r="CD45" s="497"/>
    </row>
    <row r="46" spans="1:82" ht="14.25">
      <c r="A46" s="663"/>
      <c r="L46" s="497"/>
      <c r="M46" s="497"/>
      <c r="N46" s="497"/>
      <c r="O46" s="497"/>
      <c r="P46" s="497"/>
      <c r="Q46" s="497"/>
      <c r="R46" s="497"/>
      <c r="S46" s="497"/>
      <c r="T46" s="497"/>
      <c r="U46" s="497"/>
      <c r="V46" s="497"/>
      <c r="W46" s="497"/>
      <c r="X46" s="497"/>
      <c r="Y46" s="497"/>
      <c r="Z46" s="497"/>
      <c r="AA46" s="497"/>
      <c r="AB46" s="497"/>
      <c r="AC46" s="497"/>
      <c r="AD46" s="497"/>
      <c r="AE46" s="497"/>
      <c r="AF46" s="497"/>
      <c r="AG46" s="497"/>
      <c r="AH46" s="497"/>
      <c r="AI46" s="497"/>
      <c r="AJ46" s="497"/>
      <c r="AK46" s="497"/>
      <c r="AL46" s="497"/>
      <c r="AM46" s="497"/>
      <c r="AN46" s="497"/>
      <c r="AO46" s="497"/>
      <c r="AP46" s="497"/>
      <c r="AQ46" s="497"/>
      <c r="AR46" s="497"/>
      <c r="AS46" s="497"/>
      <c r="AT46" s="497"/>
      <c r="AU46" s="497"/>
      <c r="AV46" s="497"/>
      <c r="AW46" s="497"/>
      <c r="AX46" s="497"/>
      <c r="AY46" s="497"/>
      <c r="AZ46" s="497"/>
      <c r="BA46" s="497"/>
      <c r="BB46" s="497"/>
      <c r="BC46" s="497"/>
      <c r="BD46" s="497"/>
      <c r="BE46" s="497"/>
      <c r="BF46" s="497"/>
      <c r="BG46" s="497"/>
      <c r="BH46" s="497"/>
      <c r="BI46" s="497"/>
      <c r="BJ46" s="497"/>
      <c r="BK46" s="497"/>
      <c r="BL46" s="497"/>
      <c r="BM46" s="497"/>
      <c r="BN46" s="497"/>
      <c r="BO46" s="497"/>
      <c r="BP46" s="497"/>
      <c r="BQ46" s="497"/>
      <c r="BR46" s="497"/>
      <c r="BS46" s="497"/>
      <c r="BT46" s="497"/>
      <c r="BU46" s="497"/>
      <c r="BV46" s="497"/>
      <c r="BW46" s="497"/>
      <c r="BX46" s="497"/>
      <c r="BY46" s="497"/>
      <c r="BZ46" s="497"/>
      <c r="CA46" s="497"/>
      <c r="CB46" s="497"/>
      <c r="CC46" s="497"/>
      <c r="CD46" s="497"/>
    </row>
    <row r="47" spans="1:82" ht="14.25">
      <c r="A47" s="663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7"/>
      <c r="AH47" s="497"/>
      <c r="AI47" s="497"/>
      <c r="AJ47" s="497"/>
      <c r="AK47" s="497"/>
      <c r="AL47" s="497"/>
      <c r="AM47" s="497"/>
      <c r="AN47" s="497"/>
      <c r="AO47" s="497"/>
      <c r="AP47" s="497"/>
      <c r="AQ47" s="497"/>
      <c r="AR47" s="497"/>
      <c r="AS47" s="497"/>
      <c r="AT47" s="497"/>
      <c r="AU47" s="497"/>
      <c r="AV47" s="497"/>
      <c r="AW47" s="497"/>
      <c r="AX47" s="497"/>
      <c r="AY47" s="497"/>
      <c r="AZ47" s="497"/>
      <c r="BA47" s="497"/>
      <c r="BB47" s="497"/>
      <c r="BC47" s="497"/>
      <c r="BD47" s="497"/>
      <c r="BE47" s="497"/>
      <c r="BF47" s="497"/>
      <c r="BG47" s="497"/>
      <c r="BH47" s="497"/>
      <c r="BI47" s="497"/>
      <c r="BJ47" s="497"/>
      <c r="BK47" s="497"/>
      <c r="BL47" s="497"/>
      <c r="BM47" s="497"/>
      <c r="BN47" s="497"/>
      <c r="BO47" s="497"/>
      <c r="BP47" s="497"/>
      <c r="BQ47" s="497"/>
      <c r="BR47" s="497"/>
      <c r="BS47" s="497"/>
      <c r="BT47" s="497"/>
      <c r="BU47" s="497"/>
      <c r="BV47" s="497"/>
      <c r="BW47" s="497"/>
      <c r="BX47" s="497"/>
      <c r="BY47" s="497"/>
      <c r="BZ47" s="497"/>
      <c r="CA47" s="497"/>
      <c r="CB47" s="497"/>
      <c r="CC47" s="497"/>
      <c r="CD47" s="497"/>
    </row>
    <row r="48" spans="1:82" ht="14.25">
      <c r="A48" s="663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7"/>
      <c r="AK48" s="497"/>
      <c r="AL48" s="497"/>
      <c r="AM48" s="497"/>
      <c r="AN48" s="497"/>
      <c r="AO48" s="497"/>
      <c r="AP48" s="497"/>
      <c r="AQ48" s="497"/>
      <c r="AR48" s="497"/>
      <c r="AS48" s="497"/>
      <c r="AT48" s="497"/>
      <c r="AU48" s="497"/>
      <c r="AV48" s="497"/>
      <c r="AW48" s="497"/>
      <c r="AX48" s="497"/>
      <c r="AY48" s="497"/>
      <c r="AZ48" s="497"/>
      <c r="BA48" s="497"/>
      <c r="BB48" s="497"/>
      <c r="BC48" s="497"/>
      <c r="BD48" s="497"/>
      <c r="BE48" s="497"/>
      <c r="BF48" s="497"/>
      <c r="BG48" s="497"/>
      <c r="BH48" s="497"/>
      <c r="BI48" s="497"/>
      <c r="BJ48" s="497"/>
      <c r="BK48" s="497"/>
      <c r="BL48" s="497"/>
      <c r="BM48" s="497"/>
      <c r="BN48" s="497"/>
      <c r="BO48" s="497"/>
      <c r="BP48" s="497"/>
      <c r="BQ48" s="497"/>
      <c r="BR48" s="497"/>
      <c r="BS48" s="497"/>
      <c r="BT48" s="497"/>
      <c r="BU48" s="497"/>
      <c r="BV48" s="497"/>
      <c r="BW48" s="497"/>
      <c r="BX48" s="497"/>
      <c r="BY48" s="497"/>
      <c r="BZ48" s="497"/>
      <c r="CA48" s="497"/>
      <c r="CB48" s="497"/>
      <c r="CC48" s="497"/>
      <c r="CD48" s="497"/>
    </row>
    <row r="49" spans="1:82" ht="14.25">
      <c r="A49" s="663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/>
      <c r="AD49" s="497"/>
      <c r="AE49" s="497"/>
      <c r="AF49" s="497"/>
      <c r="AG49" s="497"/>
      <c r="AH49" s="497"/>
      <c r="AI49" s="497"/>
      <c r="AJ49" s="497"/>
      <c r="AK49" s="497"/>
      <c r="AL49" s="497"/>
      <c r="AM49" s="497"/>
      <c r="AN49" s="497"/>
      <c r="AO49" s="497"/>
      <c r="AP49" s="497"/>
      <c r="AQ49" s="497"/>
      <c r="AR49" s="497"/>
      <c r="AS49" s="497"/>
      <c r="AT49" s="497"/>
      <c r="AU49" s="497"/>
      <c r="AV49" s="497"/>
      <c r="AW49" s="497"/>
      <c r="AX49" s="497"/>
      <c r="AY49" s="497"/>
      <c r="AZ49" s="497"/>
      <c r="BA49" s="497"/>
      <c r="BB49" s="497"/>
      <c r="BC49" s="497"/>
      <c r="BD49" s="497"/>
      <c r="BE49" s="497"/>
      <c r="BF49" s="497"/>
      <c r="BG49" s="497"/>
      <c r="BH49" s="497"/>
      <c r="BI49" s="497"/>
      <c r="BJ49" s="497"/>
      <c r="BK49" s="497"/>
      <c r="BL49" s="497"/>
      <c r="BM49" s="497"/>
      <c r="BN49" s="497"/>
      <c r="BO49" s="497"/>
      <c r="BP49" s="497"/>
      <c r="BQ49" s="497"/>
      <c r="BR49" s="497"/>
      <c r="BS49" s="497"/>
      <c r="BT49" s="497"/>
      <c r="BU49" s="497"/>
      <c r="BV49" s="497"/>
      <c r="BW49" s="497"/>
      <c r="BX49" s="497"/>
      <c r="BY49" s="497"/>
      <c r="BZ49" s="497"/>
      <c r="CA49" s="497"/>
      <c r="CB49" s="497"/>
      <c r="CC49" s="497"/>
      <c r="CD49" s="497"/>
    </row>
    <row r="50" spans="1:82" ht="14.25">
      <c r="A50" s="663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497"/>
      <c r="W50" s="497"/>
      <c r="X50" s="497"/>
      <c r="Y50" s="497"/>
      <c r="Z50" s="497"/>
      <c r="AA50" s="497"/>
      <c r="AB50" s="497"/>
      <c r="AC50" s="497"/>
      <c r="AD50" s="497"/>
      <c r="AE50" s="497"/>
      <c r="AF50" s="497"/>
      <c r="AG50" s="497"/>
      <c r="AH50" s="497"/>
      <c r="AI50" s="497"/>
      <c r="AJ50" s="497"/>
      <c r="AK50" s="497"/>
      <c r="AL50" s="497"/>
      <c r="AM50" s="497"/>
      <c r="AN50" s="497"/>
      <c r="AO50" s="497"/>
      <c r="AP50" s="497"/>
      <c r="AQ50" s="497"/>
      <c r="AR50" s="497"/>
      <c r="AS50" s="497"/>
      <c r="AT50" s="497"/>
      <c r="AU50" s="497"/>
      <c r="AV50" s="497"/>
      <c r="AW50" s="497"/>
      <c r="AX50" s="497"/>
      <c r="AY50" s="497"/>
      <c r="AZ50" s="497"/>
      <c r="BA50" s="497"/>
      <c r="BB50" s="497"/>
      <c r="BC50" s="497"/>
      <c r="BD50" s="497"/>
      <c r="BE50" s="497"/>
      <c r="BF50" s="497"/>
      <c r="BG50" s="497"/>
      <c r="BH50" s="497"/>
      <c r="BI50" s="497"/>
      <c r="BJ50" s="497"/>
      <c r="BK50" s="497"/>
      <c r="BL50" s="497"/>
      <c r="BM50" s="497"/>
      <c r="BN50" s="497"/>
      <c r="BO50" s="497"/>
      <c r="BP50" s="497"/>
      <c r="BQ50" s="497"/>
      <c r="BR50" s="497"/>
      <c r="BS50" s="497"/>
      <c r="BT50" s="497"/>
      <c r="BU50" s="497"/>
      <c r="BV50" s="497"/>
      <c r="BW50" s="497"/>
      <c r="BX50" s="497"/>
      <c r="BY50" s="497"/>
      <c r="BZ50" s="497"/>
      <c r="CA50" s="497"/>
      <c r="CB50" s="497"/>
      <c r="CC50" s="497"/>
      <c r="CD50" s="497"/>
    </row>
    <row r="51" spans="1:82" ht="14.25">
      <c r="A51" s="663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7"/>
      <c r="AL51" s="497"/>
      <c r="AM51" s="497"/>
      <c r="AN51" s="497"/>
      <c r="AO51" s="497"/>
      <c r="AP51" s="497"/>
      <c r="AQ51" s="497"/>
      <c r="AR51" s="497"/>
      <c r="AS51" s="497"/>
      <c r="AT51" s="497"/>
      <c r="AU51" s="497"/>
      <c r="AV51" s="497"/>
      <c r="AW51" s="497"/>
      <c r="AX51" s="497"/>
      <c r="AY51" s="497"/>
      <c r="AZ51" s="497"/>
      <c r="BA51" s="497"/>
      <c r="BB51" s="497"/>
      <c r="BC51" s="497"/>
      <c r="BD51" s="497"/>
      <c r="BE51" s="497"/>
      <c r="BF51" s="497"/>
      <c r="BG51" s="497"/>
      <c r="BH51" s="497"/>
      <c r="BI51" s="497"/>
      <c r="BJ51" s="497"/>
      <c r="BK51" s="497"/>
      <c r="BL51" s="497"/>
      <c r="BM51" s="497"/>
      <c r="BN51" s="497"/>
      <c r="BO51" s="497"/>
      <c r="BP51" s="497"/>
      <c r="BQ51" s="497"/>
      <c r="BR51" s="497"/>
      <c r="BS51" s="497"/>
      <c r="BT51" s="497"/>
      <c r="BU51" s="497"/>
      <c r="BV51" s="497"/>
      <c r="BW51" s="497"/>
      <c r="BX51" s="497"/>
      <c r="BY51" s="497"/>
      <c r="BZ51" s="497"/>
      <c r="CA51" s="497"/>
      <c r="CB51" s="497"/>
      <c r="CC51" s="497"/>
      <c r="CD51" s="497"/>
    </row>
    <row r="52" spans="1:82" ht="14.25">
      <c r="A52" s="663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7"/>
      <c r="W52" s="497"/>
      <c r="X52" s="497"/>
      <c r="Y52" s="497"/>
      <c r="Z52" s="497"/>
      <c r="AA52" s="497"/>
      <c r="AB52" s="497"/>
      <c r="AC52" s="497"/>
      <c r="AD52" s="497"/>
      <c r="AE52" s="497"/>
      <c r="AF52" s="497"/>
      <c r="AG52" s="497"/>
      <c r="AH52" s="497"/>
      <c r="AI52" s="497"/>
      <c r="AJ52" s="497"/>
      <c r="AK52" s="497"/>
      <c r="AL52" s="497"/>
      <c r="AM52" s="497"/>
      <c r="AN52" s="497"/>
      <c r="AO52" s="497"/>
      <c r="AP52" s="497"/>
      <c r="AQ52" s="497"/>
      <c r="AR52" s="497"/>
      <c r="AS52" s="497"/>
      <c r="AT52" s="497"/>
      <c r="AU52" s="497"/>
      <c r="AV52" s="497"/>
      <c r="AW52" s="497"/>
      <c r="AX52" s="497"/>
      <c r="AY52" s="497"/>
      <c r="AZ52" s="497"/>
      <c r="BA52" s="497"/>
      <c r="BB52" s="497"/>
      <c r="BC52" s="497"/>
      <c r="BD52" s="497"/>
      <c r="BE52" s="497"/>
      <c r="BF52" s="497"/>
      <c r="BG52" s="497"/>
      <c r="BH52" s="497"/>
      <c r="BI52" s="497"/>
      <c r="BJ52" s="497"/>
      <c r="BK52" s="497"/>
      <c r="BL52" s="497"/>
      <c r="BM52" s="497"/>
      <c r="BN52" s="497"/>
      <c r="BO52" s="497"/>
      <c r="BP52" s="497"/>
      <c r="BQ52" s="497"/>
      <c r="BR52" s="497"/>
      <c r="BS52" s="497"/>
      <c r="BT52" s="497"/>
      <c r="BU52" s="497"/>
      <c r="BV52" s="497"/>
      <c r="BW52" s="497"/>
      <c r="BX52" s="497"/>
      <c r="BY52" s="497"/>
      <c r="BZ52" s="497"/>
      <c r="CA52" s="497"/>
      <c r="CB52" s="497"/>
      <c r="CC52" s="497"/>
      <c r="CD52" s="497"/>
    </row>
    <row r="53" spans="1:82" ht="14.25">
      <c r="A53" s="663"/>
      <c r="L53" s="497"/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7"/>
      <c r="X53" s="497"/>
      <c r="Y53" s="497"/>
      <c r="Z53" s="497"/>
      <c r="AA53" s="497"/>
      <c r="AB53" s="497"/>
      <c r="AC53" s="497"/>
      <c r="AD53" s="497"/>
      <c r="AE53" s="497"/>
      <c r="AF53" s="497"/>
      <c r="AG53" s="497"/>
      <c r="AH53" s="497"/>
      <c r="AI53" s="497"/>
      <c r="AJ53" s="497"/>
      <c r="AK53" s="497"/>
      <c r="AL53" s="497"/>
      <c r="AM53" s="497"/>
      <c r="AN53" s="497"/>
      <c r="AO53" s="497"/>
      <c r="AP53" s="497"/>
      <c r="AQ53" s="497"/>
      <c r="AR53" s="497"/>
      <c r="AS53" s="497"/>
      <c r="AT53" s="497"/>
      <c r="AU53" s="497"/>
      <c r="AV53" s="497"/>
      <c r="AW53" s="497"/>
      <c r="AX53" s="497"/>
      <c r="AY53" s="497"/>
      <c r="AZ53" s="497"/>
      <c r="BA53" s="497"/>
      <c r="BB53" s="497"/>
      <c r="BC53" s="497"/>
      <c r="BD53" s="497"/>
      <c r="BE53" s="497"/>
      <c r="BF53" s="497"/>
      <c r="BG53" s="497"/>
      <c r="BH53" s="497"/>
      <c r="BI53" s="497"/>
      <c r="BJ53" s="497"/>
      <c r="BK53" s="497"/>
      <c r="BL53" s="497"/>
      <c r="BM53" s="497"/>
      <c r="BN53" s="497"/>
      <c r="BO53" s="497"/>
      <c r="BP53" s="497"/>
      <c r="BQ53" s="497"/>
      <c r="BR53" s="497"/>
      <c r="BS53" s="497"/>
      <c r="BT53" s="497"/>
      <c r="BU53" s="497"/>
      <c r="BV53" s="497"/>
      <c r="BW53" s="497"/>
      <c r="BX53" s="497"/>
      <c r="BY53" s="497"/>
      <c r="BZ53" s="497"/>
      <c r="CA53" s="497"/>
      <c r="CB53" s="497"/>
      <c r="CC53" s="497"/>
      <c r="CD53" s="497"/>
    </row>
    <row r="54" spans="1:82" ht="14.25">
      <c r="A54" s="663"/>
      <c r="L54" s="497"/>
      <c r="M54" s="497"/>
      <c r="N54" s="497"/>
      <c r="O54" s="497"/>
      <c r="P54" s="497"/>
      <c r="Q54" s="497"/>
      <c r="R54" s="497"/>
      <c r="S54" s="497"/>
      <c r="T54" s="497"/>
      <c r="U54" s="497"/>
      <c r="V54" s="497"/>
      <c r="W54" s="497"/>
      <c r="X54" s="497"/>
      <c r="Y54" s="497"/>
      <c r="Z54" s="497"/>
      <c r="AA54" s="497"/>
      <c r="AB54" s="497"/>
      <c r="AC54" s="497"/>
      <c r="AD54" s="497"/>
      <c r="AE54" s="497"/>
      <c r="AF54" s="497"/>
      <c r="AG54" s="497"/>
      <c r="AH54" s="497"/>
      <c r="AI54" s="497"/>
      <c r="AJ54" s="497"/>
      <c r="AK54" s="497"/>
      <c r="AL54" s="497"/>
      <c r="AM54" s="497"/>
      <c r="AN54" s="497"/>
      <c r="AO54" s="497"/>
      <c r="AP54" s="497"/>
      <c r="AQ54" s="497"/>
      <c r="AR54" s="497"/>
      <c r="AS54" s="497"/>
      <c r="AT54" s="497"/>
      <c r="AU54" s="497"/>
      <c r="AV54" s="497"/>
      <c r="AW54" s="497"/>
      <c r="AX54" s="497"/>
      <c r="AY54" s="497"/>
      <c r="AZ54" s="497"/>
      <c r="BA54" s="497"/>
      <c r="BB54" s="497"/>
      <c r="BC54" s="497"/>
      <c r="BD54" s="497"/>
      <c r="BE54" s="497"/>
      <c r="BF54" s="497"/>
      <c r="BG54" s="497"/>
      <c r="BH54" s="497"/>
      <c r="BI54" s="497"/>
      <c r="BJ54" s="497"/>
      <c r="BK54" s="497"/>
      <c r="BL54" s="497"/>
      <c r="BM54" s="497"/>
      <c r="BN54" s="497"/>
      <c r="BO54" s="497"/>
      <c r="BP54" s="497"/>
      <c r="BQ54" s="497"/>
      <c r="BR54" s="497"/>
      <c r="BS54" s="497"/>
      <c r="BT54" s="497"/>
      <c r="BU54" s="497"/>
      <c r="BV54" s="497"/>
      <c r="BW54" s="497"/>
      <c r="BX54" s="497"/>
      <c r="BY54" s="497"/>
      <c r="BZ54" s="497"/>
      <c r="CA54" s="497"/>
      <c r="CB54" s="497"/>
      <c r="CC54" s="497"/>
      <c r="CD54" s="497"/>
    </row>
    <row r="55" spans="1:82" ht="14.25">
      <c r="A55" s="663"/>
      <c r="L55" s="497"/>
      <c r="M55" s="497"/>
      <c r="N55" s="497"/>
      <c r="O55" s="497"/>
      <c r="P55" s="497"/>
      <c r="Q55" s="497"/>
      <c r="R55" s="497"/>
      <c r="S55" s="497"/>
      <c r="T55" s="497"/>
      <c r="U55" s="497"/>
      <c r="V55" s="497"/>
      <c r="W55" s="497"/>
      <c r="X55" s="497"/>
      <c r="Y55" s="497"/>
      <c r="Z55" s="497"/>
      <c r="AA55" s="497"/>
      <c r="AB55" s="497"/>
      <c r="AC55" s="497"/>
      <c r="AD55" s="497"/>
      <c r="AE55" s="497"/>
      <c r="AF55" s="497"/>
      <c r="AG55" s="497"/>
      <c r="AH55" s="497"/>
      <c r="AI55" s="497"/>
      <c r="AJ55" s="497"/>
      <c r="AK55" s="497"/>
      <c r="AL55" s="497"/>
      <c r="AM55" s="497"/>
      <c r="AN55" s="497"/>
      <c r="AO55" s="497"/>
      <c r="AP55" s="497"/>
      <c r="AQ55" s="497"/>
      <c r="AR55" s="497"/>
      <c r="AS55" s="497"/>
      <c r="AT55" s="497"/>
      <c r="AU55" s="497"/>
      <c r="AV55" s="497"/>
      <c r="AW55" s="497"/>
      <c r="AX55" s="497"/>
      <c r="AY55" s="497"/>
      <c r="AZ55" s="497"/>
      <c r="BA55" s="497"/>
      <c r="BB55" s="497"/>
      <c r="BC55" s="497"/>
      <c r="BD55" s="497"/>
      <c r="BE55" s="497"/>
      <c r="BF55" s="497"/>
      <c r="BG55" s="497"/>
      <c r="BH55" s="497"/>
      <c r="BI55" s="497"/>
      <c r="BJ55" s="497"/>
      <c r="BK55" s="497"/>
      <c r="BL55" s="497"/>
      <c r="BM55" s="497"/>
      <c r="BN55" s="497"/>
      <c r="BO55" s="497"/>
      <c r="BP55" s="497"/>
      <c r="BQ55" s="497"/>
      <c r="BR55" s="497"/>
      <c r="BS55" s="497"/>
      <c r="BT55" s="497"/>
      <c r="BU55" s="497"/>
      <c r="BV55" s="497"/>
      <c r="BW55" s="497"/>
      <c r="BX55" s="497"/>
      <c r="BY55" s="497"/>
      <c r="BZ55" s="497"/>
      <c r="CA55" s="497"/>
      <c r="CB55" s="497"/>
      <c r="CC55" s="497"/>
      <c r="CD55" s="497"/>
    </row>
    <row r="56" spans="1:82" ht="14.25">
      <c r="A56" s="663"/>
      <c r="L56" s="497"/>
      <c r="M56" s="497"/>
      <c r="N56" s="497"/>
      <c r="O56" s="497"/>
      <c r="P56" s="497"/>
      <c r="Q56" s="497"/>
      <c r="R56" s="497"/>
      <c r="S56" s="497"/>
      <c r="T56" s="497"/>
      <c r="U56" s="497"/>
      <c r="V56" s="497"/>
      <c r="W56" s="497"/>
      <c r="X56" s="497"/>
      <c r="Y56" s="497"/>
      <c r="Z56" s="497"/>
      <c r="AA56" s="497"/>
      <c r="AB56" s="497"/>
      <c r="AC56" s="497"/>
      <c r="AD56" s="497"/>
      <c r="AE56" s="497"/>
      <c r="AF56" s="497"/>
      <c r="AG56" s="497"/>
      <c r="AH56" s="497"/>
      <c r="AI56" s="497"/>
      <c r="AJ56" s="497"/>
      <c r="AK56" s="497"/>
      <c r="AL56" s="497"/>
      <c r="AM56" s="497"/>
      <c r="AN56" s="497"/>
      <c r="AO56" s="497"/>
      <c r="AP56" s="497"/>
      <c r="AQ56" s="497"/>
      <c r="AR56" s="497"/>
      <c r="AS56" s="497"/>
      <c r="AT56" s="497"/>
      <c r="AU56" s="497"/>
      <c r="AV56" s="497"/>
      <c r="AW56" s="497"/>
      <c r="AX56" s="497"/>
      <c r="AY56" s="497"/>
      <c r="AZ56" s="497"/>
      <c r="BA56" s="497"/>
      <c r="BB56" s="497"/>
      <c r="BC56" s="497"/>
      <c r="BD56" s="497"/>
      <c r="BE56" s="497"/>
      <c r="BF56" s="497"/>
      <c r="BG56" s="497"/>
      <c r="BH56" s="497"/>
      <c r="BI56" s="497"/>
      <c r="BJ56" s="497"/>
      <c r="BK56" s="497"/>
      <c r="BL56" s="497"/>
      <c r="BM56" s="497"/>
      <c r="BN56" s="497"/>
      <c r="BO56" s="497"/>
      <c r="BP56" s="497"/>
      <c r="BQ56" s="497"/>
      <c r="BR56" s="497"/>
      <c r="BS56" s="497"/>
      <c r="BT56" s="497"/>
      <c r="BU56" s="497"/>
      <c r="BV56" s="497"/>
      <c r="BW56" s="497"/>
      <c r="BX56" s="497"/>
      <c r="BY56" s="497"/>
      <c r="BZ56" s="497"/>
      <c r="CA56" s="497"/>
      <c r="CB56" s="497"/>
      <c r="CC56" s="497"/>
      <c r="CD56" s="497"/>
    </row>
    <row r="57" spans="12:82" ht="12">
      <c r="L57" s="497"/>
      <c r="M57" s="497"/>
      <c r="N57" s="497"/>
      <c r="O57" s="497"/>
      <c r="P57" s="497"/>
      <c r="Q57" s="497"/>
      <c r="R57" s="497"/>
      <c r="S57" s="497"/>
      <c r="T57" s="497"/>
      <c r="U57" s="497"/>
      <c r="V57" s="497"/>
      <c r="W57" s="497"/>
      <c r="X57" s="497"/>
      <c r="Y57" s="497"/>
      <c r="Z57" s="497"/>
      <c r="AA57" s="497"/>
      <c r="AB57" s="497"/>
      <c r="AC57" s="497"/>
      <c r="AD57" s="497"/>
      <c r="AE57" s="497"/>
      <c r="AF57" s="497"/>
      <c r="AG57" s="497"/>
      <c r="AH57" s="497"/>
      <c r="AI57" s="497"/>
      <c r="AJ57" s="497"/>
      <c r="AK57" s="497"/>
      <c r="AL57" s="497"/>
      <c r="AM57" s="497"/>
      <c r="AN57" s="497"/>
      <c r="AO57" s="497"/>
      <c r="AP57" s="497"/>
      <c r="AQ57" s="497"/>
      <c r="AR57" s="497"/>
      <c r="AS57" s="497"/>
      <c r="AT57" s="497"/>
      <c r="AU57" s="497"/>
      <c r="AV57" s="497"/>
      <c r="AW57" s="497"/>
      <c r="AX57" s="497"/>
      <c r="AY57" s="497"/>
      <c r="AZ57" s="497"/>
      <c r="BA57" s="497"/>
      <c r="BB57" s="497"/>
      <c r="BC57" s="497"/>
      <c r="BD57" s="497"/>
      <c r="BE57" s="497"/>
      <c r="BF57" s="497"/>
      <c r="BG57" s="497"/>
      <c r="BH57" s="497"/>
      <c r="BI57" s="497"/>
      <c r="BJ57" s="497"/>
      <c r="BK57" s="497"/>
      <c r="BL57" s="497"/>
      <c r="BM57" s="497"/>
      <c r="BN57" s="497"/>
      <c r="BO57" s="497"/>
      <c r="BP57" s="497"/>
      <c r="BQ57" s="497"/>
      <c r="BR57" s="497"/>
      <c r="BS57" s="497"/>
      <c r="BT57" s="497"/>
      <c r="BU57" s="497"/>
      <c r="BV57" s="497"/>
      <c r="BW57" s="497"/>
      <c r="BX57" s="497"/>
      <c r="BY57" s="497"/>
      <c r="BZ57" s="497"/>
      <c r="CA57" s="497"/>
      <c r="CB57" s="497"/>
      <c r="CC57" s="497"/>
      <c r="CD57" s="497"/>
    </row>
    <row r="58" spans="12:82" ht="12">
      <c r="L58" s="497"/>
      <c r="M58" s="497"/>
      <c r="N58" s="497"/>
      <c r="O58" s="497"/>
      <c r="P58" s="497"/>
      <c r="Q58" s="497"/>
      <c r="R58" s="497"/>
      <c r="S58" s="497"/>
      <c r="T58" s="497"/>
      <c r="U58" s="497"/>
      <c r="V58" s="497"/>
      <c r="W58" s="497"/>
      <c r="X58" s="497"/>
      <c r="Y58" s="497"/>
      <c r="Z58" s="497"/>
      <c r="AA58" s="497"/>
      <c r="AB58" s="497"/>
      <c r="AC58" s="497"/>
      <c r="AD58" s="497"/>
      <c r="AE58" s="497"/>
      <c r="AF58" s="497"/>
      <c r="AG58" s="497"/>
      <c r="AH58" s="497"/>
      <c r="AI58" s="497"/>
      <c r="AJ58" s="497"/>
      <c r="AK58" s="497"/>
      <c r="AL58" s="497"/>
      <c r="AM58" s="497"/>
      <c r="AN58" s="497"/>
      <c r="AO58" s="497"/>
      <c r="AP58" s="497"/>
      <c r="AQ58" s="497"/>
      <c r="AR58" s="497"/>
      <c r="AS58" s="497"/>
      <c r="AT58" s="497"/>
      <c r="AU58" s="497"/>
      <c r="AV58" s="497"/>
      <c r="AW58" s="497"/>
      <c r="AX58" s="497"/>
      <c r="AY58" s="497"/>
      <c r="AZ58" s="497"/>
      <c r="BA58" s="497"/>
      <c r="BB58" s="497"/>
      <c r="BC58" s="497"/>
      <c r="BD58" s="497"/>
      <c r="BE58" s="497"/>
      <c r="BF58" s="497"/>
      <c r="BG58" s="497"/>
      <c r="BH58" s="497"/>
      <c r="BI58" s="497"/>
      <c r="BJ58" s="497"/>
      <c r="BK58" s="497"/>
      <c r="BL58" s="497"/>
      <c r="BM58" s="497"/>
      <c r="BN58" s="497"/>
      <c r="BO58" s="497"/>
      <c r="BP58" s="497"/>
      <c r="BQ58" s="497"/>
      <c r="BR58" s="497"/>
      <c r="BS58" s="497"/>
      <c r="BT58" s="497"/>
      <c r="BU58" s="497"/>
      <c r="BV58" s="497"/>
      <c r="BW58" s="497"/>
      <c r="BX58" s="497"/>
      <c r="BY58" s="497"/>
      <c r="BZ58" s="497"/>
      <c r="CA58" s="497"/>
      <c r="CB58" s="497"/>
      <c r="CC58" s="497"/>
      <c r="CD58" s="497"/>
    </row>
    <row r="59" spans="12:82" ht="12">
      <c r="L59" s="497"/>
      <c r="M59" s="497"/>
      <c r="N59" s="497"/>
      <c r="O59" s="497"/>
      <c r="P59" s="497"/>
      <c r="Q59" s="497"/>
      <c r="R59" s="497"/>
      <c r="S59" s="497"/>
      <c r="T59" s="497"/>
      <c r="U59" s="497"/>
      <c r="V59" s="497"/>
      <c r="W59" s="497"/>
      <c r="X59" s="497"/>
      <c r="Y59" s="497"/>
      <c r="Z59" s="497"/>
      <c r="AA59" s="497"/>
      <c r="AB59" s="497"/>
      <c r="AC59" s="497"/>
      <c r="AD59" s="497"/>
      <c r="AE59" s="497"/>
      <c r="AF59" s="497"/>
      <c r="AG59" s="497"/>
      <c r="AH59" s="497"/>
      <c r="AI59" s="497"/>
      <c r="AJ59" s="497"/>
      <c r="AK59" s="497"/>
      <c r="AL59" s="497"/>
      <c r="AM59" s="497"/>
      <c r="AN59" s="497"/>
      <c r="AO59" s="497"/>
      <c r="AP59" s="497"/>
      <c r="AQ59" s="497"/>
      <c r="AR59" s="497"/>
      <c r="AS59" s="497"/>
      <c r="AT59" s="497"/>
      <c r="AU59" s="497"/>
      <c r="AV59" s="497"/>
      <c r="AW59" s="497"/>
      <c r="AX59" s="497"/>
      <c r="AY59" s="497"/>
      <c r="AZ59" s="497"/>
      <c r="BA59" s="497"/>
      <c r="BB59" s="497"/>
      <c r="BC59" s="497"/>
      <c r="BD59" s="497"/>
      <c r="BE59" s="497"/>
      <c r="BF59" s="497"/>
      <c r="BG59" s="497"/>
      <c r="BH59" s="497"/>
      <c r="BI59" s="497"/>
      <c r="BJ59" s="497"/>
      <c r="BK59" s="497"/>
      <c r="BL59" s="497"/>
      <c r="BM59" s="497"/>
      <c r="BN59" s="497"/>
      <c r="BO59" s="497"/>
      <c r="BP59" s="497"/>
      <c r="BQ59" s="497"/>
      <c r="BR59" s="497"/>
      <c r="BS59" s="497"/>
      <c r="BT59" s="497"/>
      <c r="BU59" s="497"/>
      <c r="BV59" s="497"/>
      <c r="BW59" s="497"/>
      <c r="BX59" s="497"/>
      <c r="BY59" s="497"/>
      <c r="BZ59" s="497"/>
      <c r="CA59" s="497"/>
      <c r="CB59" s="497"/>
      <c r="CC59" s="497"/>
      <c r="CD59" s="497"/>
    </row>
    <row r="60" spans="12:82" ht="12">
      <c r="L60" s="497"/>
      <c r="M60" s="497"/>
      <c r="N60" s="497"/>
      <c r="O60" s="497"/>
      <c r="P60" s="497"/>
      <c r="Q60" s="497"/>
      <c r="R60" s="497"/>
      <c r="S60" s="497"/>
      <c r="T60" s="497"/>
      <c r="U60" s="497"/>
      <c r="V60" s="497"/>
      <c r="W60" s="497"/>
      <c r="X60" s="497"/>
      <c r="Y60" s="497"/>
      <c r="Z60" s="497"/>
      <c r="AA60" s="497"/>
      <c r="AB60" s="497"/>
      <c r="AC60" s="497"/>
      <c r="AD60" s="497"/>
      <c r="AE60" s="497"/>
      <c r="AF60" s="497"/>
      <c r="AG60" s="497"/>
      <c r="AH60" s="497"/>
      <c r="AI60" s="497"/>
      <c r="AJ60" s="497"/>
      <c r="AK60" s="497"/>
      <c r="AL60" s="497"/>
      <c r="AM60" s="497"/>
      <c r="AN60" s="497"/>
      <c r="AO60" s="497"/>
      <c r="AP60" s="497"/>
      <c r="AQ60" s="497"/>
      <c r="AR60" s="497"/>
      <c r="AS60" s="497"/>
      <c r="AT60" s="497"/>
      <c r="AU60" s="497"/>
      <c r="AV60" s="497"/>
      <c r="AW60" s="497"/>
      <c r="AX60" s="497"/>
      <c r="AY60" s="497"/>
      <c r="AZ60" s="497"/>
      <c r="BA60" s="497"/>
      <c r="BB60" s="497"/>
      <c r="BC60" s="497"/>
      <c r="BD60" s="497"/>
      <c r="BE60" s="497"/>
      <c r="BF60" s="497"/>
      <c r="BG60" s="497"/>
      <c r="BH60" s="497"/>
      <c r="BI60" s="497"/>
      <c r="BJ60" s="497"/>
      <c r="BK60" s="497"/>
      <c r="BL60" s="497"/>
      <c r="BM60" s="497"/>
      <c r="BN60" s="497"/>
      <c r="BO60" s="497"/>
      <c r="BP60" s="497"/>
      <c r="BQ60" s="497"/>
      <c r="BR60" s="497"/>
      <c r="BS60" s="497"/>
      <c r="BT60" s="497"/>
      <c r="BU60" s="497"/>
      <c r="BV60" s="497"/>
      <c r="BW60" s="497"/>
      <c r="BX60" s="497"/>
      <c r="BY60" s="497"/>
      <c r="BZ60" s="497"/>
      <c r="CA60" s="497"/>
      <c r="CB60" s="497"/>
      <c r="CC60" s="497"/>
      <c r="CD60" s="497"/>
    </row>
    <row r="61" spans="12:82" ht="12">
      <c r="L61" s="497"/>
      <c r="M61" s="497"/>
      <c r="N61" s="497"/>
      <c r="O61" s="497"/>
      <c r="P61" s="497"/>
      <c r="Q61" s="497"/>
      <c r="R61" s="497"/>
      <c r="S61" s="497"/>
      <c r="T61" s="497"/>
      <c r="U61" s="497"/>
      <c r="V61" s="497"/>
      <c r="W61" s="497"/>
      <c r="X61" s="497"/>
      <c r="Y61" s="497"/>
      <c r="Z61" s="497"/>
      <c r="AA61" s="497"/>
      <c r="AB61" s="497"/>
      <c r="AC61" s="497"/>
      <c r="AD61" s="497"/>
      <c r="AE61" s="497"/>
      <c r="AF61" s="497"/>
      <c r="AG61" s="497"/>
      <c r="AH61" s="497"/>
      <c r="AI61" s="497"/>
      <c r="AJ61" s="497"/>
      <c r="AK61" s="497"/>
      <c r="AL61" s="497"/>
      <c r="AM61" s="497"/>
      <c r="AN61" s="497"/>
      <c r="AO61" s="497"/>
      <c r="AP61" s="497"/>
      <c r="AQ61" s="497"/>
      <c r="AR61" s="497"/>
      <c r="AS61" s="497"/>
      <c r="AT61" s="497"/>
      <c r="AU61" s="497"/>
      <c r="AV61" s="497"/>
      <c r="AW61" s="497"/>
      <c r="AX61" s="497"/>
      <c r="AY61" s="497"/>
      <c r="AZ61" s="497"/>
      <c r="BA61" s="497"/>
      <c r="BB61" s="497"/>
      <c r="BC61" s="497"/>
      <c r="BD61" s="497"/>
      <c r="BE61" s="497"/>
      <c r="BF61" s="497"/>
      <c r="BG61" s="497"/>
      <c r="BH61" s="497"/>
      <c r="BI61" s="497"/>
      <c r="BJ61" s="497"/>
      <c r="BK61" s="497"/>
      <c r="BL61" s="497"/>
      <c r="BM61" s="497"/>
      <c r="BN61" s="497"/>
      <c r="BO61" s="497"/>
      <c r="BP61" s="497"/>
      <c r="BQ61" s="497"/>
      <c r="BR61" s="497"/>
      <c r="BS61" s="497"/>
      <c r="BT61" s="497"/>
      <c r="BU61" s="497"/>
      <c r="BV61" s="497"/>
      <c r="BW61" s="497"/>
      <c r="BX61" s="497"/>
      <c r="BY61" s="497"/>
      <c r="BZ61" s="497"/>
      <c r="CA61" s="497"/>
      <c r="CB61" s="497"/>
      <c r="CC61" s="497"/>
      <c r="CD61" s="497"/>
    </row>
    <row r="62" spans="12:82" ht="12">
      <c r="L62" s="497"/>
      <c r="M62" s="497"/>
      <c r="N62" s="497"/>
      <c r="O62" s="497"/>
      <c r="P62" s="497"/>
      <c r="Q62" s="497"/>
      <c r="R62" s="497"/>
      <c r="S62" s="497"/>
      <c r="T62" s="497"/>
      <c r="U62" s="497"/>
      <c r="V62" s="497"/>
      <c r="W62" s="497"/>
      <c r="X62" s="497"/>
      <c r="Y62" s="497"/>
      <c r="Z62" s="497"/>
      <c r="AA62" s="497"/>
      <c r="AB62" s="497"/>
      <c r="AC62" s="497"/>
      <c r="AD62" s="497"/>
      <c r="AE62" s="497"/>
      <c r="AF62" s="497"/>
      <c r="AG62" s="497"/>
      <c r="AH62" s="497"/>
      <c r="AI62" s="497"/>
      <c r="AJ62" s="497"/>
      <c r="AK62" s="497"/>
      <c r="AL62" s="497"/>
      <c r="AM62" s="497"/>
      <c r="AN62" s="497"/>
      <c r="AO62" s="497"/>
      <c r="AP62" s="497"/>
      <c r="AQ62" s="497"/>
      <c r="AR62" s="497"/>
      <c r="AS62" s="497"/>
      <c r="AT62" s="497"/>
      <c r="AU62" s="497"/>
      <c r="AV62" s="497"/>
      <c r="AW62" s="497"/>
      <c r="AX62" s="497"/>
      <c r="AY62" s="497"/>
      <c r="AZ62" s="497"/>
      <c r="BA62" s="497"/>
      <c r="BB62" s="497"/>
      <c r="BC62" s="497"/>
      <c r="BD62" s="497"/>
      <c r="BE62" s="497"/>
      <c r="BF62" s="497"/>
      <c r="BG62" s="497"/>
      <c r="BH62" s="497"/>
      <c r="BI62" s="497"/>
      <c r="BJ62" s="497"/>
      <c r="BK62" s="497"/>
      <c r="BL62" s="497"/>
      <c r="BM62" s="497"/>
      <c r="BN62" s="497"/>
      <c r="BO62" s="497"/>
      <c r="BP62" s="497"/>
      <c r="BQ62" s="497"/>
      <c r="BR62" s="497"/>
      <c r="BS62" s="497"/>
      <c r="BT62" s="497"/>
      <c r="BU62" s="497"/>
      <c r="BV62" s="497"/>
      <c r="BW62" s="497"/>
      <c r="BX62" s="497"/>
      <c r="BY62" s="497"/>
      <c r="BZ62" s="497"/>
      <c r="CA62" s="497"/>
      <c r="CB62" s="497"/>
      <c r="CC62" s="497"/>
      <c r="CD62" s="497"/>
    </row>
  </sheetData>
  <printOptions/>
  <pageMargins left="1.33" right="0.53" top="1.98" bottom="0.984251968503937" header="0.5118110236220472" footer="0.5118110236220472"/>
  <pageSetup firstPageNumber="35" useFirstPageNumber="1" horizontalDpi="300" verticalDpi="300" orientation="portrait" paperSize="9" r:id="rId1"/>
  <headerFooter alignWithMargins="0">
    <oddFooter>&amp;L&amp;"Arial,Regular"&amp;8Valsts kase / Pārskatu departaments
15.05.00.
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/>
  <dimension ref="A1:J63"/>
  <sheetViews>
    <sheetView workbookViewId="0" topLeftCell="A39">
      <selection activeCell="B10" sqref="B10"/>
    </sheetView>
  </sheetViews>
  <sheetFormatPr defaultColWidth="9.140625" defaultRowHeight="12.75"/>
  <cols>
    <col min="1" max="1" width="24.7109375" style="453" customWidth="1"/>
    <col min="2" max="3" width="13.140625" style="453" customWidth="1"/>
    <col min="4" max="4" width="14.00390625" style="453" customWidth="1"/>
    <col min="5" max="5" width="16.57421875" style="453" customWidth="1"/>
    <col min="6" max="6" width="9.7109375" style="453" customWidth="1"/>
    <col min="7" max="8" width="8.8515625" style="453" customWidth="1"/>
    <col min="9" max="9" width="14.8515625" style="453" customWidth="1"/>
    <col min="10" max="16384" width="8.00390625" style="453" customWidth="1"/>
  </cols>
  <sheetData>
    <row r="1" spans="1:10" ht="12.75" customHeight="1">
      <c r="A1" s="467" t="s">
        <v>680</v>
      </c>
      <c r="B1" s="467"/>
      <c r="C1" s="467"/>
      <c r="D1" s="467"/>
      <c r="E1" s="467"/>
      <c r="F1" s="467"/>
      <c r="G1" s="467"/>
      <c r="H1" s="467"/>
      <c r="I1" s="666" t="s">
        <v>681</v>
      </c>
      <c r="J1" s="547"/>
    </row>
    <row r="2" spans="1:9" ht="12">
      <c r="A2" s="497"/>
      <c r="B2" s="497"/>
      <c r="C2" s="497"/>
      <c r="D2" s="497"/>
      <c r="E2" s="497"/>
      <c r="F2" s="497"/>
      <c r="G2" s="497"/>
      <c r="H2" s="497"/>
      <c r="I2" s="497"/>
    </row>
    <row r="3" spans="1:9" ht="12">
      <c r="A3" s="497"/>
      <c r="B3" s="497"/>
      <c r="C3" s="497"/>
      <c r="D3" s="497"/>
      <c r="E3" s="497"/>
      <c r="F3" s="497"/>
      <c r="G3" s="497"/>
      <c r="H3" s="497"/>
      <c r="I3" s="497"/>
    </row>
    <row r="4" spans="1:9" ht="15.75">
      <c r="A4" s="565" t="s">
        <v>682</v>
      </c>
      <c r="B4" s="563"/>
      <c r="C4" s="563"/>
      <c r="D4" s="563"/>
      <c r="E4" s="563"/>
      <c r="F4" s="563"/>
      <c r="G4" s="563"/>
      <c r="H4" s="563"/>
      <c r="I4" s="563"/>
    </row>
    <row r="5" spans="1:9" ht="15.75">
      <c r="A5" s="565" t="s">
        <v>683</v>
      </c>
      <c r="B5" s="460"/>
      <c r="C5" s="565"/>
      <c r="D5" s="565"/>
      <c r="E5" s="565"/>
      <c r="F5" s="457"/>
      <c r="G5" s="457"/>
      <c r="H5" s="457"/>
      <c r="I5" s="457"/>
    </row>
    <row r="6" spans="1:9" ht="15.75">
      <c r="A6" s="567"/>
      <c r="B6" s="497"/>
      <c r="C6" s="497"/>
      <c r="D6" s="497"/>
      <c r="E6" s="497"/>
      <c r="F6" s="497"/>
      <c r="G6" s="497"/>
      <c r="H6" s="497"/>
      <c r="I6" s="497"/>
    </row>
    <row r="7" spans="1:9" ht="11.25">
      <c r="A7" s="550"/>
      <c r="B7" s="550"/>
      <c r="C7" s="550"/>
      <c r="D7" s="550"/>
      <c r="E7" s="550"/>
      <c r="F7" s="550"/>
      <c r="G7" s="550"/>
      <c r="H7" s="550"/>
      <c r="I7" s="550" t="s">
        <v>684</v>
      </c>
    </row>
    <row r="8" spans="1:9" ht="56.25">
      <c r="A8" s="667" t="s">
        <v>685</v>
      </c>
      <c r="B8" s="668" t="s">
        <v>686</v>
      </c>
      <c r="C8" s="668" t="s">
        <v>687</v>
      </c>
      <c r="D8" s="668" t="s">
        <v>688</v>
      </c>
      <c r="E8" s="668" t="s">
        <v>689</v>
      </c>
      <c r="F8" s="668" t="s">
        <v>690</v>
      </c>
      <c r="G8" s="669" t="s">
        <v>691</v>
      </c>
      <c r="H8" s="670"/>
      <c r="I8" s="671" t="s">
        <v>692</v>
      </c>
    </row>
    <row r="9" spans="1:9" ht="11.25">
      <c r="A9" s="625"/>
      <c r="B9" s="672"/>
      <c r="C9" s="672"/>
      <c r="D9" s="672"/>
      <c r="E9" s="672"/>
      <c r="F9" s="672"/>
      <c r="G9" s="672" t="s">
        <v>693</v>
      </c>
      <c r="H9" s="672" t="s">
        <v>694</v>
      </c>
      <c r="I9" s="673"/>
    </row>
    <row r="10" spans="1:9" ht="11.25">
      <c r="A10" s="674">
        <v>1</v>
      </c>
      <c r="B10" s="675">
        <v>2</v>
      </c>
      <c r="C10" s="675">
        <v>3</v>
      </c>
      <c r="D10" s="675">
        <v>4</v>
      </c>
      <c r="E10" s="675">
        <v>5</v>
      </c>
      <c r="F10" s="675">
        <v>6</v>
      </c>
      <c r="G10" s="675">
        <v>7</v>
      </c>
      <c r="H10" s="675">
        <v>8</v>
      </c>
      <c r="I10" s="676">
        <v>9</v>
      </c>
    </row>
    <row r="11" spans="1:9" ht="12">
      <c r="A11" s="628" t="s">
        <v>605</v>
      </c>
      <c r="B11" s="677">
        <v>70000</v>
      </c>
      <c r="C11" s="677">
        <f>643464+339732+329101</f>
        <v>1312297</v>
      </c>
      <c r="D11" s="678">
        <f>11087+11087</f>
        <v>22174</v>
      </c>
      <c r="E11" s="677">
        <f>2929802+1610180+1604777</f>
        <v>6144759</v>
      </c>
      <c r="F11" s="678"/>
      <c r="G11" s="678"/>
      <c r="H11" s="678"/>
      <c r="I11" s="655">
        <f aca="true" t="shared" si="0" ref="I11:I44">SUM(B11:H11)</f>
        <v>7549230</v>
      </c>
    </row>
    <row r="12" spans="1:9" ht="12">
      <c r="A12" s="628" t="s">
        <v>606</v>
      </c>
      <c r="B12" s="678">
        <v>68000</v>
      </c>
      <c r="C12" s="678">
        <f>86558+45539+44110</f>
        <v>176207</v>
      </c>
      <c r="D12" s="678">
        <f>1090+1090</f>
        <v>2180</v>
      </c>
      <c r="E12" s="677">
        <f>467022+257592+258677</f>
        <v>983291</v>
      </c>
      <c r="F12" s="678"/>
      <c r="G12" s="678"/>
      <c r="H12" s="678"/>
      <c r="I12" s="655">
        <f t="shared" si="0"/>
        <v>1229678</v>
      </c>
    </row>
    <row r="13" spans="1:9" ht="12">
      <c r="A13" s="628" t="s">
        <v>607</v>
      </c>
      <c r="B13" s="678">
        <v>50000</v>
      </c>
      <c r="C13" s="678">
        <f>71042+37055+35882</f>
        <v>143979</v>
      </c>
      <c r="D13" s="678">
        <f>3087+3087</f>
        <v>6174</v>
      </c>
      <c r="E13" s="677">
        <f>292158+162140+161599</f>
        <v>615897</v>
      </c>
      <c r="F13" s="678"/>
      <c r="G13" s="678"/>
      <c r="H13" s="678"/>
      <c r="I13" s="655">
        <f t="shared" si="0"/>
        <v>816050</v>
      </c>
    </row>
    <row r="14" spans="1:9" ht="12">
      <c r="A14" s="628" t="s">
        <v>608</v>
      </c>
      <c r="B14" s="678"/>
      <c r="C14" s="678">
        <f>20454+10709+10371</f>
        <v>41534</v>
      </c>
      <c r="D14" s="678">
        <f>194+194</f>
        <v>388</v>
      </c>
      <c r="E14" s="677">
        <f>227068+123983+123608</f>
        <v>474659</v>
      </c>
      <c r="F14" s="678"/>
      <c r="G14" s="678"/>
      <c r="H14" s="678"/>
      <c r="I14" s="655">
        <f t="shared" si="0"/>
        <v>516581</v>
      </c>
    </row>
    <row r="15" spans="1:9" ht="12">
      <c r="A15" s="628" t="s">
        <v>609</v>
      </c>
      <c r="B15" s="678">
        <v>138000</v>
      </c>
      <c r="C15" s="678">
        <f>103554+54374+52664</f>
        <v>210592</v>
      </c>
      <c r="D15" s="678">
        <f>1090+1090</f>
        <v>2180</v>
      </c>
      <c r="E15" s="677">
        <f>352216+192420+192039</f>
        <v>736675</v>
      </c>
      <c r="F15" s="678"/>
      <c r="G15" s="678"/>
      <c r="H15" s="678"/>
      <c r="I15" s="655">
        <f t="shared" si="0"/>
        <v>1087447</v>
      </c>
    </row>
    <row r="16" spans="1:9" ht="12">
      <c r="A16" s="628" t="s">
        <v>610</v>
      </c>
      <c r="B16" s="678"/>
      <c r="C16" s="678">
        <f>75056+39401+38161</f>
        <v>152618</v>
      </c>
      <c r="D16" s="678">
        <f>908+908</f>
        <v>1816</v>
      </c>
      <c r="E16" s="678">
        <f>173250+94555+94229</f>
        <v>362034</v>
      </c>
      <c r="F16" s="678"/>
      <c r="G16" s="678"/>
      <c r="H16" s="678"/>
      <c r="I16" s="655">
        <f t="shared" si="0"/>
        <v>516468</v>
      </c>
    </row>
    <row r="17" spans="1:9" ht="12">
      <c r="A17" s="628" t="s">
        <v>611</v>
      </c>
      <c r="B17" s="678"/>
      <c r="C17" s="678">
        <f>7618+3925+3799</f>
        <v>15342</v>
      </c>
      <c r="D17" s="678">
        <f>726+726</f>
        <v>1452</v>
      </c>
      <c r="E17" s="677">
        <f>180578+97975+97720</f>
        <v>376273</v>
      </c>
      <c r="F17" s="678"/>
      <c r="G17" s="678"/>
      <c r="H17" s="678">
        <v>11250</v>
      </c>
      <c r="I17" s="655">
        <f t="shared" si="0"/>
        <v>404317</v>
      </c>
    </row>
    <row r="18" spans="1:9" ht="12">
      <c r="A18" s="628" t="s">
        <v>614</v>
      </c>
      <c r="B18" s="678">
        <v>30000</v>
      </c>
      <c r="C18" s="678">
        <f>70234+37003+35843</f>
        <v>143080</v>
      </c>
      <c r="D18" s="678">
        <f>726+726</f>
        <v>1452</v>
      </c>
      <c r="E18" s="677">
        <f>247296+133552+133296</f>
        <v>514144</v>
      </c>
      <c r="F18" s="678"/>
      <c r="G18" s="678"/>
      <c r="H18" s="678">
        <v>5250</v>
      </c>
      <c r="I18" s="655">
        <f t="shared" si="0"/>
        <v>693926</v>
      </c>
    </row>
    <row r="19" spans="1:9" ht="12">
      <c r="A19" s="628" t="s">
        <v>615</v>
      </c>
      <c r="B19" s="678">
        <v>10000</v>
      </c>
      <c r="C19" s="678">
        <f>80126+41763+40439</f>
        <v>162328</v>
      </c>
      <c r="D19" s="678">
        <f>908+908</f>
        <v>1816</v>
      </c>
      <c r="E19" s="678">
        <f>149670+81355+88639</f>
        <v>319664</v>
      </c>
      <c r="F19" s="678"/>
      <c r="G19" s="678"/>
      <c r="H19" s="678"/>
      <c r="I19" s="655">
        <f t="shared" si="0"/>
        <v>493808</v>
      </c>
    </row>
    <row r="20" spans="1:9" ht="12">
      <c r="A20" s="628" t="s">
        <v>616</v>
      </c>
      <c r="B20" s="678">
        <v>31000</v>
      </c>
      <c r="C20" s="678">
        <f>65934+34345+33256</f>
        <v>133535</v>
      </c>
      <c r="D20" s="678">
        <f>1453+1453</f>
        <v>2906</v>
      </c>
      <c r="E20" s="678">
        <f>169872+92479+106489</f>
        <v>368840</v>
      </c>
      <c r="F20" s="678"/>
      <c r="G20" s="678"/>
      <c r="H20" s="678"/>
      <c r="I20" s="655">
        <f t="shared" si="0"/>
        <v>536281</v>
      </c>
    </row>
    <row r="21" spans="1:9" ht="12">
      <c r="A21" s="628" t="s">
        <v>617</v>
      </c>
      <c r="B21" s="678">
        <v>40000</v>
      </c>
      <c r="C21" s="678">
        <f>108448+56899+55108</f>
        <v>220455</v>
      </c>
      <c r="D21" s="678">
        <f>1271+1271</f>
        <v>2542</v>
      </c>
      <c r="E21" s="677">
        <f>285312+154015+153727</f>
        <v>593054</v>
      </c>
      <c r="F21" s="678"/>
      <c r="G21" s="678"/>
      <c r="H21" s="678">
        <v>9750</v>
      </c>
      <c r="I21" s="655">
        <f t="shared" si="0"/>
        <v>865801</v>
      </c>
    </row>
    <row r="22" spans="1:9" ht="12">
      <c r="A22" s="628" t="s">
        <v>618</v>
      </c>
      <c r="B22" s="678">
        <v>14800</v>
      </c>
      <c r="C22" s="677">
        <f>195222+101600+98376</f>
        <v>395198</v>
      </c>
      <c r="D22" s="678">
        <f>1453+1453</f>
        <v>2906</v>
      </c>
      <c r="E22" s="677">
        <f>343602+184608+184269</f>
        <v>712479</v>
      </c>
      <c r="F22" s="678"/>
      <c r="G22" s="678"/>
      <c r="H22" s="678">
        <v>14588</v>
      </c>
      <c r="I22" s="655">
        <f t="shared" si="0"/>
        <v>1139971</v>
      </c>
    </row>
    <row r="23" spans="1:9" ht="12">
      <c r="A23" s="628" t="s">
        <v>619</v>
      </c>
      <c r="B23" s="678">
        <v>238000</v>
      </c>
      <c r="C23" s="678">
        <f>58823+30937+29966</f>
        <v>119726</v>
      </c>
      <c r="D23" s="678">
        <f>545+545</f>
        <v>1090</v>
      </c>
      <c r="E23" s="677">
        <f>207818+111452+111177</f>
        <v>430447</v>
      </c>
      <c r="F23" s="678"/>
      <c r="G23" s="678"/>
      <c r="H23" s="678">
        <v>15750</v>
      </c>
      <c r="I23" s="655">
        <f t="shared" si="0"/>
        <v>805013</v>
      </c>
    </row>
    <row r="24" spans="1:9" ht="12">
      <c r="A24" s="628" t="s">
        <v>620</v>
      </c>
      <c r="B24" s="678">
        <v>23950</v>
      </c>
      <c r="C24" s="678">
        <f>25942+13676+13248</f>
        <v>52866</v>
      </c>
      <c r="D24" s="678">
        <f>908+908</f>
        <v>1816</v>
      </c>
      <c r="E24" s="677">
        <f>243378+131781+131493</f>
        <v>506652</v>
      </c>
      <c r="F24" s="678"/>
      <c r="G24" s="678"/>
      <c r="H24" s="678">
        <v>5250</v>
      </c>
      <c r="I24" s="655">
        <f t="shared" si="0"/>
        <v>590534</v>
      </c>
    </row>
    <row r="25" spans="1:9" ht="12">
      <c r="A25" s="628" t="s">
        <v>621</v>
      </c>
      <c r="B25" s="678">
        <v>115000</v>
      </c>
      <c r="C25" s="678">
        <f>25246+13235+12818</f>
        <v>51299</v>
      </c>
      <c r="D25" s="678">
        <f>545+545</f>
        <v>1090</v>
      </c>
      <c r="E25" s="678">
        <f>155800+85065+95752</f>
        <v>336617</v>
      </c>
      <c r="F25" s="678"/>
      <c r="G25" s="678"/>
      <c r="H25" s="678"/>
      <c r="I25" s="655">
        <f t="shared" si="0"/>
        <v>504006</v>
      </c>
    </row>
    <row r="26" spans="1:9" ht="12">
      <c r="A26" s="628" t="s">
        <v>622</v>
      </c>
      <c r="B26" s="678"/>
      <c r="C26" s="678">
        <f>50540+26528+25693</f>
        <v>102761</v>
      </c>
      <c r="D26" s="678">
        <f>726+726</f>
        <v>1452</v>
      </c>
      <c r="E26" s="677">
        <f>206358+109644+109410</f>
        <v>425412</v>
      </c>
      <c r="F26" s="678"/>
      <c r="G26" s="678"/>
      <c r="H26" s="678"/>
      <c r="I26" s="655">
        <f t="shared" si="0"/>
        <v>529625</v>
      </c>
    </row>
    <row r="27" spans="1:9" ht="12">
      <c r="A27" s="628" t="s">
        <v>623</v>
      </c>
      <c r="B27" s="678">
        <v>93000</v>
      </c>
      <c r="C27" s="678">
        <f>87308+45368+43926</f>
        <v>176602</v>
      </c>
      <c r="D27" s="678">
        <f>908+908</f>
        <v>1816</v>
      </c>
      <c r="E27" s="677">
        <f>283346+153451+153158</f>
        <v>589955</v>
      </c>
      <c r="F27" s="678"/>
      <c r="G27" s="678"/>
      <c r="H27" s="678">
        <v>15169</v>
      </c>
      <c r="I27" s="655">
        <f t="shared" si="0"/>
        <v>876542</v>
      </c>
    </row>
    <row r="28" spans="1:9" ht="12">
      <c r="A28" s="628" t="s">
        <v>624</v>
      </c>
      <c r="B28" s="678">
        <v>92500</v>
      </c>
      <c r="C28" s="678">
        <f>26132+13786+13354</f>
        <v>53272</v>
      </c>
      <c r="D28" s="678">
        <f>578+578</f>
        <v>1156</v>
      </c>
      <c r="E28" s="677">
        <f>209584+113105+123730</f>
        <v>446419</v>
      </c>
      <c r="F28" s="678"/>
      <c r="G28" s="678"/>
      <c r="H28" s="678"/>
      <c r="I28" s="655">
        <f t="shared" si="0"/>
        <v>593347</v>
      </c>
    </row>
    <row r="29" spans="1:9" ht="12">
      <c r="A29" s="628" t="s">
        <v>625</v>
      </c>
      <c r="B29" s="678">
        <v>63000</v>
      </c>
      <c r="C29" s="678">
        <f>84482+44636+43241</f>
        <v>172359</v>
      </c>
      <c r="D29" s="678">
        <f>908+908</f>
        <v>1816</v>
      </c>
      <c r="E29" s="677">
        <f>249092+133302+133004</f>
        <v>515398</v>
      </c>
      <c r="F29" s="678"/>
      <c r="G29" s="678"/>
      <c r="H29" s="678"/>
      <c r="I29" s="655">
        <f t="shared" si="0"/>
        <v>752573</v>
      </c>
    </row>
    <row r="30" spans="1:9" ht="12">
      <c r="A30" s="628" t="s">
        <v>626</v>
      </c>
      <c r="B30" s="678">
        <v>12500</v>
      </c>
      <c r="C30" s="678">
        <f>97154+50843+49239</f>
        <v>197236</v>
      </c>
      <c r="D30" s="678">
        <f>908+908</f>
        <v>1816</v>
      </c>
      <c r="E30" s="677">
        <f>272546+146518+146301</f>
        <v>565365</v>
      </c>
      <c r="F30" s="678"/>
      <c r="G30" s="678"/>
      <c r="H30" s="678">
        <v>21000</v>
      </c>
      <c r="I30" s="655">
        <f t="shared" si="0"/>
        <v>797917</v>
      </c>
    </row>
    <row r="31" spans="1:9" ht="12">
      <c r="A31" s="628" t="s">
        <v>627</v>
      </c>
      <c r="B31" s="678"/>
      <c r="C31" s="678">
        <f>30092+15879+15382</f>
        <v>61353</v>
      </c>
      <c r="D31" s="678">
        <f>908+908</f>
        <v>1816</v>
      </c>
      <c r="E31" s="677">
        <f>221596+119962+119769</f>
        <v>461327</v>
      </c>
      <c r="F31" s="678"/>
      <c r="G31" s="678"/>
      <c r="H31" s="678"/>
      <c r="I31" s="655">
        <f t="shared" si="0"/>
        <v>524496</v>
      </c>
    </row>
    <row r="32" spans="1:9" ht="12">
      <c r="A32" s="628" t="s">
        <v>628</v>
      </c>
      <c r="B32" s="678"/>
      <c r="C32" s="678">
        <f>26990+14137+13691</f>
        <v>54818</v>
      </c>
      <c r="D32" s="678">
        <f>908+908</f>
        <v>1816</v>
      </c>
      <c r="E32" s="677">
        <f>188384+102206+112735</f>
        <v>403325</v>
      </c>
      <c r="F32" s="678"/>
      <c r="G32" s="678"/>
      <c r="H32" s="678">
        <v>21028</v>
      </c>
      <c r="I32" s="655">
        <f t="shared" si="0"/>
        <v>480987</v>
      </c>
    </row>
    <row r="33" spans="1:9" ht="12">
      <c r="A33" s="628" t="s">
        <v>629</v>
      </c>
      <c r="B33" s="678">
        <v>107000</v>
      </c>
      <c r="C33" s="678">
        <f>51354+26881+26033</f>
        <v>104268</v>
      </c>
      <c r="D33" s="678">
        <f>1634+1634</f>
        <v>3268</v>
      </c>
      <c r="E33" s="677">
        <f>249750+135520+135280</f>
        <v>520550</v>
      </c>
      <c r="F33" s="678"/>
      <c r="G33" s="678"/>
      <c r="H33" s="678">
        <v>4425</v>
      </c>
      <c r="I33" s="655">
        <f t="shared" si="0"/>
        <v>739511</v>
      </c>
    </row>
    <row r="34" spans="1:9" ht="12">
      <c r="A34" s="628" t="s">
        <v>630</v>
      </c>
      <c r="B34" s="678"/>
      <c r="C34" s="678">
        <f>52046+27104+26245</f>
        <v>105395</v>
      </c>
      <c r="D34" s="678">
        <f>1453+1453</f>
        <v>2906</v>
      </c>
      <c r="E34" s="677">
        <f>324012+175914+175631</f>
        <v>675557</v>
      </c>
      <c r="F34" s="678"/>
      <c r="G34" s="678"/>
      <c r="H34" s="678"/>
      <c r="I34" s="655">
        <f t="shared" si="0"/>
        <v>783858</v>
      </c>
    </row>
    <row r="35" spans="1:9" ht="12">
      <c r="A35" s="628" t="s">
        <v>631</v>
      </c>
      <c r="B35" s="678">
        <v>25000</v>
      </c>
      <c r="C35" s="678">
        <f>73706+38181+57964</f>
        <v>169851</v>
      </c>
      <c r="D35" s="678">
        <f>1453+1453</f>
        <v>2906</v>
      </c>
      <c r="E35" s="677">
        <f>233270+126217+138226</f>
        <v>497713</v>
      </c>
      <c r="F35" s="678"/>
      <c r="G35" s="678"/>
      <c r="H35" s="678"/>
      <c r="I35" s="655">
        <f t="shared" si="0"/>
        <v>695470</v>
      </c>
    </row>
    <row r="36" spans="1:9" ht="12">
      <c r="A36" s="628" t="s">
        <v>632</v>
      </c>
      <c r="B36" s="678"/>
      <c r="C36" s="678">
        <f>113138+58896+57028</f>
        <v>229062</v>
      </c>
      <c r="D36" s="678">
        <f>908+908</f>
        <v>1816</v>
      </c>
      <c r="E36" s="677">
        <f>226820+121303+123741</f>
        <v>471864</v>
      </c>
      <c r="F36" s="678"/>
      <c r="G36" s="678"/>
      <c r="H36" s="678">
        <v>26250</v>
      </c>
      <c r="I36" s="655">
        <f t="shared" si="0"/>
        <v>728992</v>
      </c>
    </row>
    <row r="37" spans="1:9" ht="12">
      <c r="A37" s="628" t="s">
        <v>633</v>
      </c>
      <c r="B37" s="678">
        <v>120000</v>
      </c>
      <c r="C37" s="678">
        <f>102024+53567+51882</f>
        <v>207473</v>
      </c>
      <c r="D37" s="678">
        <f>2905+2905</f>
        <v>5810</v>
      </c>
      <c r="E37" s="677">
        <f>615598+334677+334042</f>
        <v>1284317</v>
      </c>
      <c r="F37" s="678"/>
      <c r="G37" s="678"/>
      <c r="H37" s="678">
        <v>5250</v>
      </c>
      <c r="I37" s="655">
        <f t="shared" si="0"/>
        <v>1622850</v>
      </c>
    </row>
    <row r="38" spans="1:9" ht="12">
      <c r="A38" s="628" t="s">
        <v>634</v>
      </c>
      <c r="B38" s="678"/>
      <c r="C38" s="678">
        <f>111676+58087+56243</f>
        <v>226006</v>
      </c>
      <c r="D38" s="678">
        <f>908+908</f>
        <v>1816</v>
      </c>
      <c r="E38" s="677">
        <f>220962+119415+119211</f>
        <v>459588</v>
      </c>
      <c r="F38" s="678"/>
      <c r="G38" s="678"/>
      <c r="H38" s="678"/>
      <c r="I38" s="655">
        <f t="shared" si="0"/>
        <v>687410</v>
      </c>
    </row>
    <row r="39" spans="1:9" ht="12">
      <c r="A39" s="628" t="s">
        <v>635</v>
      </c>
      <c r="B39" s="678">
        <v>231000</v>
      </c>
      <c r="C39" s="678">
        <f>48558+25626+24824</f>
        <v>99008</v>
      </c>
      <c r="D39" s="678">
        <f>1271+1271</f>
        <v>2542</v>
      </c>
      <c r="E39" s="677">
        <f>286548+155064+154808</f>
        <v>596420</v>
      </c>
      <c r="F39" s="678"/>
      <c r="G39" s="678"/>
      <c r="H39" s="678"/>
      <c r="I39" s="655">
        <f t="shared" si="0"/>
        <v>928970</v>
      </c>
    </row>
    <row r="40" spans="1:9" ht="12">
      <c r="A40" s="628" t="s">
        <v>636</v>
      </c>
      <c r="B40" s="677">
        <v>95300</v>
      </c>
      <c r="C40" s="678">
        <f>144450+75532+73147</f>
        <v>293129</v>
      </c>
      <c r="D40" s="678">
        <f>908+908</f>
        <v>1816</v>
      </c>
      <c r="E40" s="677">
        <f>293160+158769+158495</f>
        <v>610424</v>
      </c>
      <c r="F40" s="677"/>
      <c r="G40" s="677"/>
      <c r="H40" s="677">
        <v>12389</v>
      </c>
      <c r="I40" s="655">
        <f t="shared" si="0"/>
        <v>1013058</v>
      </c>
    </row>
    <row r="41" spans="1:9" ht="12">
      <c r="A41" s="628" t="s">
        <v>637</v>
      </c>
      <c r="B41" s="678"/>
      <c r="C41" s="678">
        <f>35856+18732+18140</f>
        <v>72728</v>
      </c>
      <c r="D41" s="678">
        <f>1453+1453</f>
        <v>2906</v>
      </c>
      <c r="E41" s="677">
        <f>190826+103926+103751</f>
        <v>398503</v>
      </c>
      <c r="F41" s="677"/>
      <c r="G41" s="677"/>
      <c r="H41" s="677">
        <v>10200</v>
      </c>
      <c r="I41" s="655">
        <f t="shared" si="0"/>
        <v>484337</v>
      </c>
    </row>
    <row r="42" spans="1:9" ht="12">
      <c r="A42" s="628" t="s">
        <v>638</v>
      </c>
      <c r="B42" s="678">
        <v>25000</v>
      </c>
      <c r="C42" s="678">
        <f>141666+75053+72714</f>
        <v>289433</v>
      </c>
      <c r="D42" s="678">
        <f>1634+1634</f>
        <v>3268</v>
      </c>
      <c r="E42" s="677">
        <f>348084+189063+188775</f>
        <v>725922</v>
      </c>
      <c r="F42" s="677"/>
      <c r="G42" s="677"/>
      <c r="H42" s="677"/>
      <c r="I42" s="655">
        <f t="shared" si="0"/>
        <v>1043623</v>
      </c>
    </row>
    <row r="43" spans="1:9" ht="12">
      <c r="A43" s="679" t="s">
        <v>639</v>
      </c>
      <c r="B43" s="680"/>
      <c r="C43" s="680">
        <f>34724+18102+17529</f>
        <v>70355</v>
      </c>
      <c r="D43" s="680">
        <f>694+694</f>
        <v>1388</v>
      </c>
      <c r="E43" s="680">
        <f>82328+44038+43964</f>
        <v>170330</v>
      </c>
      <c r="F43" s="486"/>
      <c r="G43" s="681"/>
      <c r="H43" s="681">
        <v>6375</v>
      </c>
      <c r="I43" s="682">
        <f t="shared" si="0"/>
        <v>248448</v>
      </c>
    </row>
    <row r="44" spans="1:9" ht="12.75">
      <c r="A44" s="683" t="s">
        <v>641</v>
      </c>
      <c r="B44" s="684">
        <f aca="true" t="shared" si="1" ref="B44:H44">SUM(B11:B43)</f>
        <v>1693050</v>
      </c>
      <c r="C44" s="684">
        <f t="shared" si="1"/>
        <v>6016165</v>
      </c>
      <c r="D44" s="684">
        <f t="shared" si="1"/>
        <v>94112</v>
      </c>
      <c r="E44" s="684">
        <f t="shared" si="1"/>
        <v>23293874</v>
      </c>
      <c r="F44" s="684">
        <f t="shared" si="1"/>
        <v>0</v>
      </c>
      <c r="G44" s="684">
        <f t="shared" si="1"/>
        <v>0</v>
      </c>
      <c r="H44" s="684">
        <f t="shared" si="1"/>
        <v>183924</v>
      </c>
      <c r="I44" s="685">
        <f t="shared" si="0"/>
        <v>31281125</v>
      </c>
    </row>
    <row r="45" spans="1:9" ht="12">
      <c r="A45" s="686"/>
      <c r="B45" s="687"/>
      <c r="C45" s="687"/>
      <c r="D45" s="687"/>
      <c r="E45" s="687"/>
      <c r="F45" s="687"/>
      <c r="G45" s="687"/>
      <c r="H45" s="687"/>
      <c r="I45" s="687"/>
    </row>
    <row r="46" spans="1:9" ht="12">
      <c r="A46" s="686"/>
      <c r="B46" s="687"/>
      <c r="C46" s="687"/>
      <c r="D46" s="688"/>
      <c r="E46" s="687"/>
      <c r="F46" s="687"/>
      <c r="G46" s="687"/>
      <c r="H46" s="687"/>
      <c r="I46" s="687"/>
    </row>
    <row r="47" spans="1:9" ht="12">
      <c r="A47" s="686"/>
      <c r="B47" s="687"/>
      <c r="C47" s="687"/>
      <c r="D47" s="687"/>
      <c r="E47" s="687"/>
      <c r="F47" s="687"/>
      <c r="G47" s="687"/>
      <c r="H47" s="687"/>
      <c r="I47" s="687"/>
    </row>
    <row r="48" spans="1:8" ht="12.75">
      <c r="A48" s="689"/>
      <c r="B48" s="690"/>
      <c r="C48" s="691"/>
      <c r="D48" s="692"/>
      <c r="E48" s="692"/>
      <c r="F48" s="692"/>
      <c r="G48" s="692"/>
      <c r="H48" s="692"/>
    </row>
    <row r="49" spans="1:9" s="497" customFormat="1" ht="12">
      <c r="A49" s="556" t="s">
        <v>510</v>
      </c>
      <c r="B49" s="556"/>
      <c r="C49" s="693"/>
      <c r="D49" s="694"/>
      <c r="E49" s="548"/>
      <c r="F49" s="556" t="s">
        <v>645</v>
      </c>
      <c r="G49" s="694"/>
      <c r="H49" s="548"/>
      <c r="I49" s="496" t="s">
        <v>511</v>
      </c>
    </row>
    <row r="50" spans="1:9" ht="12">
      <c r="A50" s="695"/>
      <c r="B50" s="696"/>
      <c r="C50" s="696"/>
      <c r="D50" s="696"/>
      <c r="E50" s="694"/>
      <c r="F50" s="697"/>
      <c r="G50" s="697"/>
      <c r="H50" s="697"/>
      <c r="I50" s="694"/>
    </row>
    <row r="62" ht="11.25">
      <c r="A62" s="461" t="s">
        <v>647</v>
      </c>
    </row>
    <row r="63" ht="11.25">
      <c r="A63" s="453" t="s">
        <v>662</v>
      </c>
    </row>
  </sheetData>
  <printOptions/>
  <pageMargins left="1.11" right="0.7480314960629921" top="0.984251968503937" bottom="0.984251968503937" header="0.5118110236220472" footer="0.5118110236220472"/>
  <pageSetup firstPageNumber="36" useFirstPageNumber="1"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G1">
      <selection activeCell="B5" sqref="B5"/>
    </sheetView>
  </sheetViews>
  <sheetFormatPr defaultColWidth="9.140625" defaultRowHeight="12.75"/>
  <cols>
    <col min="1" max="1" width="32.421875" style="0" hidden="1" customWidth="1"/>
    <col min="2" max="2" width="12.140625" style="0" hidden="1" customWidth="1"/>
    <col min="3" max="3" width="10.421875" style="0" hidden="1" customWidth="1"/>
    <col min="4" max="4" width="11.57421875" style="0" hidden="1" customWidth="1"/>
    <col min="5" max="5" width="9.140625" style="0" hidden="1" customWidth="1"/>
    <col min="6" max="6" width="10.28125" style="0" hidden="1" customWidth="1"/>
    <col min="7" max="7" width="36.57421875" style="0" customWidth="1"/>
    <col min="8" max="8" width="11.7109375" style="0" customWidth="1"/>
    <col min="9" max="9" width="10.140625" style="0" customWidth="1"/>
    <col min="10" max="10" width="10.28125" style="0" customWidth="1"/>
    <col min="12" max="12" width="10.00390625" style="0" customWidth="1"/>
  </cols>
  <sheetData>
    <row r="1" spans="1:12" ht="19.5" customHeight="1">
      <c r="A1" s="43"/>
      <c r="B1" s="43"/>
      <c r="C1" s="80"/>
      <c r="D1" s="43"/>
      <c r="E1" s="43"/>
      <c r="F1" s="36" t="s">
        <v>122</v>
      </c>
      <c r="G1" s="43"/>
      <c r="H1" s="43"/>
      <c r="I1" s="43"/>
      <c r="J1" s="43"/>
      <c r="K1" s="43"/>
      <c r="L1" s="36" t="s">
        <v>122</v>
      </c>
    </row>
    <row r="2" spans="1:12" ht="12.75">
      <c r="A2" s="32" t="s">
        <v>123</v>
      </c>
      <c r="B2" s="32"/>
      <c r="C2" s="81"/>
      <c r="D2" s="32"/>
      <c r="E2" s="32"/>
      <c r="F2" s="43"/>
      <c r="G2" s="32" t="s">
        <v>124</v>
      </c>
      <c r="H2" s="32"/>
      <c r="I2" s="32"/>
      <c r="J2" s="32"/>
      <c r="K2" s="32"/>
      <c r="L2" s="43"/>
    </row>
    <row r="3" spans="1:12" ht="11.25" customHeight="1">
      <c r="A3" s="82"/>
      <c r="B3" s="43"/>
      <c r="C3" s="80"/>
      <c r="D3" s="43"/>
      <c r="E3" s="43"/>
      <c r="F3" s="43"/>
      <c r="G3" s="82"/>
      <c r="H3" s="43"/>
      <c r="I3" s="43"/>
      <c r="J3" s="43"/>
      <c r="K3" s="43"/>
      <c r="L3" s="43"/>
    </row>
    <row r="4" spans="1:12" ht="15.75">
      <c r="A4" s="83" t="s">
        <v>125</v>
      </c>
      <c r="B4" s="32"/>
      <c r="C4" s="81"/>
      <c r="D4" s="32"/>
      <c r="E4" s="32"/>
      <c r="F4" s="43"/>
      <c r="G4" s="445" t="s">
        <v>126</v>
      </c>
      <c r="H4" s="445"/>
      <c r="I4" s="445"/>
      <c r="J4" s="445"/>
      <c r="K4" s="445"/>
      <c r="L4" s="445"/>
    </row>
    <row r="5" spans="1:12" ht="15.75">
      <c r="A5" s="83"/>
      <c r="B5" s="32"/>
      <c r="C5" s="81"/>
      <c r="D5" s="32"/>
      <c r="E5" s="32"/>
      <c r="F5" s="43"/>
      <c r="G5" s="46"/>
      <c r="H5" s="46" t="s">
        <v>127</v>
      </c>
      <c r="I5" s="46"/>
      <c r="J5" s="46"/>
      <c r="K5" s="46"/>
      <c r="L5" s="46"/>
    </row>
    <row r="6" spans="1:12" ht="18.75" customHeight="1">
      <c r="A6" s="82"/>
      <c r="B6" s="43"/>
      <c r="C6" s="80"/>
      <c r="D6" s="43"/>
      <c r="E6" s="84"/>
      <c r="F6" s="84" t="s">
        <v>48</v>
      </c>
      <c r="G6" s="82"/>
      <c r="H6" s="43"/>
      <c r="I6" s="43"/>
      <c r="J6" s="43"/>
      <c r="K6" s="84"/>
      <c r="L6" s="84" t="s">
        <v>48</v>
      </c>
    </row>
    <row r="7" spans="1:12" ht="51">
      <c r="A7" s="85" t="s">
        <v>2</v>
      </c>
      <c r="B7" s="85" t="s">
        <v>49</v>
      </c>
      <c r="C7" s="86" t="s">
        <v>128</v>
      </c>
      <c r="D7" s="85" t="s">
        <v>50</v>
      </c>
      <c r="E7" s="85" t="s">
        <v>129</v>
      </c>
      <c r="F7" s="85" t="s">
        <v>130</v>
      </c>
      <c r="G7" s="87" t="s">
        <v>2</v>
      </c>
      <c r="H7" s="87" t="s">
        <v>49</v>
      </c>
      <c r="I7" s="87" t="s">
        <v>128</v>
      </c>
      <c r="J7" s="87" t="s">
        <v>50</v>
      </c>
      <c r="K7" s="87" t="s">
        <v>129</v>
      </c>
      <c r="L7" s="87" t="s">
        <v>6</v>
      </c>
    </row>
    <row r="8" spans="1:12" s="39" customFormat="1" ht="9.75" customHeight="1">
      <c r="A8" s="4">
        <v>1</v>
      </c>
      <c r="B8" s="88">
        <v>2</v>
      </c>
      <c r="C8" s="89">
        <v>3</v>
      </c>
      <c r="D8" s="90">
        <v>4</v>
      </c>
      <c r="E8" s="90">
        <v>5</v>
      </c>
      <c r="F8" s="88">
        <v>6</v>
      </c>
      <c r="G8" s="4">
        <v>1</v>
      </c>
      <c r="H8" s="88">
        <v>2</v>
      </c>
      <c r="I8" s="90">
        <v>3</v>
      </c>
      <c r="J8" s="90">
        <v>4</v>
      </c>
      <c r="K8" s="90">
        <v>5</v>
      </c>
      <c r="L8" s="88">
        <v>6</v>
      </c>
    </row>
    <row r="9" spans="1:12" s="43" customFormat="1" ht="26.25" customHeight="1">
      <c r="A9" s="91" t="s">
        <v>131</v>
      </c>
      <c r="B9" s="92">
        <f>SUM(B10,B18,B31,B33)</f>
        <v>737531269</v>
      </c>
      <c r="C9" s="93">
        <v>0.9818</v>
      </c>
      <c r="D9" s="92">
        <f>D10+D18+D31+D33</f>
        <v>231157322</v>
      </c>
      <c r="E9" s="94">
        <f aca="true" t="shared" si="0" ref="E9:E33">IF(ISERROR(D9/B9)," ",(D9/B9))</f>
        <v>0.31342036835051124</v>
      </c>
      <c r="F9" s="92">
        <f>F10+F18+F31+F33</f>
        <v>0</v>
      </c>
      <c r="G9" s="91" t="s">
        <v>131</v>
      </c>
      <c r="H9" s="95">
        <f>SUM(H10,H18,H31,H33)</f>
        <v>737531</v>
      </c>
      <c r="I9" s="96">
        <f>C9</f>
        <v>0.9818</v>
      </c>
      <c r="J9" s="95">
        <f>J10+J18+J31+J33</f>
        <v>231157</v>
      </c>
      <c r="K9" s="97">
        <f>IF(ISERROR(J9/H9)," ",(J9/H9))</f>
        <v>0.3134200460726397</v>
      </c>
      <c r="L9" s="95">
        <f>L10+L18+L31+L33</f>
        <v>60659</v>
      </c>
    </row>
    <row r="10" spans="1:12" s="43" customFormat="1" ht="15.75" customHeight="1">
      <c r="A10" s="98" t="s">
        <v>132</v>
      </c>
      <c r="B10" s="92">
        <f>SUM(B11,B13,B17)</f>
        <v>587500000</v>
      </c>
      <c r="C10" s="99" t="s">
        <v>133</v>
      </c>
      <c r="D10" s="92">
        <f>SUM(D11,D13,)</f>
        <v>181242696</v>
      </c>
      <c r="E10" s="94">
        <f t="shared" si="0"/>
        <v>0.3084982059574468</v>
      </c>
      <c r="F10" s="92">
        <f>F11+F13+F17</f>
        <v>0</v>
      </c>
      <c r="G10" s="98" t="s">
        <v>132</v>
      </c>
      <c r="H10" s="100">
        <f>SUM(H11,H13,H17)</f>
        <v>587499</v>
      </c>
      <c r="I10" s="101" t="str">
        <f>C10</f>
        <v>97.75</v>
      </c>
      <c r="J10" s="100">
        <f>SUM(J11,J13,)</f>
        <v>181243</v>
      </c>
      <c r="K10" s="97">
        <f>IF(ISERROR(J10/H10)," ",(J10/H10))</f>
        <v>0.30849924850935917</v>
      </c>
      <c r="L10" s="100">
        <f>L11+L13</f>
        <v>47752</v>
      </c>
    </row>
    <row r="11" spans="1:12" s="43" customFormat="1" ht="12.75">
      <c r="A11" s="98" t="s">
        <v>134</v>
      </c>
      <c r="B11" s="92">
        <f>SUM(B12)</f>
        <v>95100000</v>
      </c>
      <c r="C11" s="102">
        <f>C12</f>
        <v>1</v>
      </c>
      <c r="D11" s="92">
        <f>SUM(D12)</f>
        <v>29701128</v>
      </c>
      <c r="E11" s="94">
        <f t="shared" si="0"/>
        <v>0.31231470031545744</v>
      </c>
      <c r="F11" s="92">
        <f>F12</f>
        <v>0</v>
      </c>
      <c r="G11" s="98" t="s">
        <v>134</v>
      </c>
      <c r="H11" s="100">
        <f>SUM(H12)</f>
        <v>95100</v>
      </c>
      <c r="I11" s="103">
        <f aca="true" t="shared" si="1" ref="I11:I29">C11</f>
        <v>1</v>
      </c>
      <c r="J11" s="100">
        <f>SUM(J12)</f>
        <v>29701</v>
      </c>
      <c r="K11" s="97">
        <f aca="true" t="shared" si="2" ref="K11:K29">IF(ISERROR(ROUND(J11,0)/ROUND(H11,0))," ",(ROUND(J11,)/ROUND(H11,)))</f>
        <v>0.31231335436382757</v>
      </c>
      <c r="L11" s="100">
        <f>L12</f>
        <v>7605</v>
      </c>
    </row>
    <row r="12" spans="1:12" s="2" customFormat="1" ht="12">
      <c r="A12" s="61" t="s">
        <v>135</v>
      </c>
      <c r="B12" s="104">
        <v>95100000</v>
      </c>
      <c r="C12" s="105">
        <v>1</v>
      </c>
      <c r="D12" s="104">
        <v>29701128</v>
      </c>
      <c r="E12" s="106">
        <f t="shared" si="0"/>
        <v>0.31231470031545744</v>
      </c>
      <c r="F12" s="104"/>
      <c r="G12" s="59" t="s">
        <v>135</v>
      </c>
      <c r="H12" s="20">
        <f>ROUND(B12/1000,0)</f>
        <v>95100</v>
      </c>
      <c r="I12" s="107">
        <f t="shared" si="1"/>
        <v>1</v>
      </c>
      <c r="J12" s="20">
        <f>ROUND(D12/1000,0)</f>
        <v>29701</v>
      </c>
      <c r="K12" s="108">
        <f t="shared" si="2"/>
        <v>0.31231335436382757</v>
      </c>
      <c r="L12" s="20">
        <f>J12-'[3]MARTS'!J12</f>
        <v>7605</v>
      </c>
    </row>
    <row r="13" spans="1:12" s="43" customFormat="1" ht="12.75">
      <c r="A13" s="98" t="s">
        <v>136</v>
      </c>
      <c r="B13" s="92">
        <f>SUM(B14:B16)</f>
        <v>492400000</v>
      </c>
      <c r="C13" s="109">
        <f>SUM(C14+C15+C16)/3</f>
        <v>0.9754333333333333</v>
      </c>
      <c r="D13" s="92">
        <f>SUM(D14:D17)</f>
        <v>151541568</v>
      </c>
      <c r="E13" s="94">
        <f t="shared" si="0"/>
        <v>0.30776110479285135</v>
      </c>
      <c r="F13" s="92">
        <f>F14+F15+F16</f>
        <v>0</v>
      </c>
      <c r="G13" s="98" t="s">
        <v>136</v>
      </c>
      <c r="H13" s="100">
        <f>SUM(H14:H16)</f>
        <v>492399</v>
      </c>
      <c r="I13" s="103">
        <f t="shared" si="1"/>
        <v>0.9754333333333333</v>
      </c>
      <c r="J13" s="100">
        <f>SUM(J14:J17)</f>
        <v>151542</v>
      </c>
      <c r="K13" s="97">
        <f t="shared" si="2"/>
        <v>0.3077626071539544</v>
      </c>
      <c r="L13" s="100">
        <f>L14+L15+L16+L17</f>
        <v>40147</v>
      </c>
    </row>
    <row r="14" spans="1:12" s="2" customFormat="1" ht="12">
      <c r="A14" s="61" t="s">
        <v>137</v>
      </c>
      <c r="B14" s="104">
        <v>346096000</v>
      </c>
      <c r="C14" s="110">
        <v>0.9841</v>
      </c>
      <c r="D14" s="104">
        <v>106978603</v>
      </c>
      <c r="E14" s="106">
        <f t="shared" si="0"/>
        <v>0.3091009517590495</v>
      </c>
      <c r="F14" s="104"/>
      <c r="G14" s="59" t="s">
        <v>137</v>
      </c>
      <c r="H14" s="20">
        <f>ROUND(B14/1000,0)-1</f>
        <v>346095</v>
      </c>
      <c r="I14" s="107">
        <f t="shared" si="1"/>
        <v>0.9841</v>
      </c>
      <c r="J14" s="20">
        <f>ROUND(D14/1000,0)</f>
        <v>106979</v>
      </c>
      <c r="K14" s="108">
        <f t="shared" si="2"/>
        <v>0.30910299195307644</v>
      </c>
      <c r="L14" s="20">
        <f>J14-'[3]MARTS'!J14</f>
        <v>29021</v>
      </c>
    </row>
    <row r="15" spans="1:12" s="2" customFormat="1" ht="12">
      <c r="A15" s="61" t="s">
        <v>138</v>
      </c>
      <c r="B15" s="104">
        <v>133504000</v>
      </c>
      <c r="C15" s="110">
        <v>0.9422</v>
      </c>
      <c r="D15" s="111">
        <f>25636980+5050400+5044417</f>
        <v>35731797</v>
      </c>
      <c r="E15" s="106">
        <f t="shared" si="0"/>
        <v>0.2676458907598274</v>
      </c>
      <c r="F15" s="104"/>
      <c r="G15" s="59" t="s">
        <v>138</v>
      </c>
      <c r="H15" s="20">
        <f>ROUND(B15/1000,0)</f>
        <v>133504</v>
      </c>
      <c r="I15" s="112"/>
      <c r="J15" s="20">
        <f>ROUND(D15/1000,0)</f>
        <v>35732</v>
      </c>
      <c r="K15" s="108">
        <f t="shared" si="2"/>
        <v>0.2676474113135187</v>
      </c>
      <c r="L15" s="20">
        <f>J15-'[3]MARTS'!J15</f>
        <v>9886</v>
      </c>
    </row>
    <row r="16" spans="1:12" s="2" customFormat="1" ht="12">
      <c r="A16" s="113" t="s">
        <v>139</v>
      </c>
      <c r="B16" s="104">
        <v>12800000</v>
      </c>
      <c r="C16" s="114">
        <v>1</v>
      </c>
      <c r="D16" s="111">
        <v>4565264</v>
      </c>
      <c r="E16" s="106">
        <f t="shared" si="0"/>
        <v>0.35666125</v>
      </c>
      <c r="F16" s="104"/>
      <c r="G16" s="115" t="s">
        <v>139</v>
      </c>
      <c r="H16" s="20">
        <f>ROUND(B16/1000,0)</f>
        <v>12800</v>
      </c>
      <c r="I16" s="107">
        <f t="shared" si="1"/>
        <v>1</v>
      </c>
      <c r="J16" s="20">
        <f>ROUND(D16/1000,0)</f>
        <v>4565</v>
      </c>
      <c r="K16" s="108">
        <f t="shared" si="2"/>
        <v>0.356640625</v>
      </c>
      <c r="L16" s="20">
        <f>J16-'[3]MARTS'!J16</f>
        <v>1237</v>
      </c>
    </row>
    <row r="17" spans="1:12" s="43" customFormat="1" ht="15" customHeight="1">
      <c r="A17" s="116" t="s">
        <v>140</v>
      </c>
      <c r="B17" s="117"/>
      <c r="C17" s="118" t="s">
        <v>9</v>
      </c>
      <c r="D17" s="119">
        <f>2728208+718683+520136+298877</f>
        <v>4265904</v>
      </c>
      <c r="E17" s="120" t="str">
        <f t="shared" si="0"/>
        <v> </v>
      </c>
      <c r="F17" s="117"/>
      <c r="G17" s="71" t="s">
        <v>140</v>
      </c>
      <c r="H17" s="100">
        <f>ROUND(B17/1000,0)</f>
        <v>0</v>
      </c>
      <c r="I17" s="121" t="str">
        <f t="shared" si="1"/>
        <v>x</v>
      </c>
      <c r="J17" s="100">
        <f>ROUND(D17/1000,0)</f>
        <v>4266</v>
      </c>
      <c r="K17" s="97">
        <v>0</v>
      </c>
      <c r="L17" s="100">
        <f>J17-'[3]MARTS'!J17</f>
        <v>3</v>
      </c>
    </row>
    <row r="18" spans="1:12" s="43" customFormat="1" ht="12.75">
      <c r="A18" s="98" t="s">
        <v>141</v>
      </c>
      <c r="B18" s="92">
        <f>SUM(B19,B20,B21,B22,B23:B24,B25,B26,,B29)</f>
        <v>59128087</v>
      </c>
      <c r="C18" s="109">
        <v>0.9961</v>
      </c>
      <c r="D18" s="119">
        <f>SUM(D19,D20,D21,D22,D23,D24,D25,D26,D29)</f>
        <v>19583717</v>
      </c>
      <c r="E18" s="94">
        <f t="shared" si="0"/>
        <v>0.33120836464741366</v>
      </c>
      <c r="F18" s="92">
        <f>F19+F20+F21+F22+F23+F24+F25+F26+F29</f>
        <v>0</v>
      </c>
      <c r="G18" s="98" t="s">
        <v>141</v>
      </c>
      <c r="H18" s="100">
        <f>SUM(H19,H20,H21,H22,H23:H24,H25,H26,,H29)</f>
        <v>59129</v>
      </c>
      <c r="I18" s="122">
        <v>0.9961</v>
      </c>
      <c r="J18" s="100">
        <f>SUM(J19,J20,J21,J22,J23,J24,J25,J26,J29)</f>
        <v>19583</v>
      </c>
      <c r="K18" s="97">
        <f>IF(ISERROR(J18/H18)," ",(J18/H18))</f>
        <v>0.33119112449052074</v>
      </c>
      <c r="L18" s="100">
        <f>L19+L20+L21+L22+L23+L24+L25+L26+L29</f>
        <v>6629</v>
      </c>
    </row>
    <row r="19" spans="1:12" s="2" customFormat="1" ht="18" customHeight="1">
      <c r="A19" s="62" t="s">
        <v>142</v>
      </c>
      <c r="B19" s="104">
        <v>2000000</v>
      </c>
      <c r="C19" s="123">
        <v>1</v>
      </c>
      <c r="D19" s="111">
        <v>224955</v>
      </c>
      <c r="E19" s="106">
        <f t="shared" si="0"/>
        <v>0.1124775</v>
      </c>
      <c r="F19" s="104"/>
      <c r="G19" s="124" t="s">
        <v>142</v>
      </c>
      <c r="H19" s="20">
        <f aca="true" t="shared" si="3" ref="H19:H32">ROUND(B19/1000,0)</f>
        <v>2000</v>
      </c>
      <c r="I19" s="107">
        <f t="shared" si="1"/>
        <v>1</v>
      </c>
      <c r="J19" s="20">
        <f>ROUND(D19/1000,0)</f>
        <v>225</v>
      </c>
      <c r="K19" s="108">
        <f t="shared" si="2"/>
        <v>0.1125</v>
      </c>
      <c r="L19" s="20">
        <f>J19-'[3]MARTS'!J19</f>
        <v>198</v>
      </c>
    </row>
    <row r="20" spans="1:12" s="2" customFormat="1" ht="17.25" customHeight="1">
      <c r="A20" s="61" t="s">
        <v>143</v>
      </c>
      <c r="B20" s="104">
        <v>13290534</v>
      </c>
      <c r="C20" s="123">
        <v>1</v>
      </c>
      <c r="D20" s="111">
        <f>2071890+2249339</f>
        <v>4321229</v>
      </c>
      <c r="E20" s="106">
        <f>IF(ISERROR(D20/B20)," ",(D20/B20))</f>
        <v>0.32513584480503194</v>
      </c>
      <c r="F20" s="104"/>
      <c r="G20" s="59" t="s">
        <v>143</v>
      </c>
      <c r="H20" s="20">
        <f t="shared" si="3"/>
        <v>13291</v>
      </c>
      <c r="I20" s="107">
        <f t="shared" si="1"/>
        <v>1</v>
      </c>
      <c r="J20" s="20">
        <f>ROUND(D20/1000,0)</f>
        <v>4321</v>
      </c>
      <c r="K20" s="108">
        <f t="shared" si="2"/>
        <v>0.32510721540892334</v>
      </c>
      <c r="L20" s="20">
        <f>J20-'[3]MARTS'!J20</f>
        <v>1751</v>
      </c>
    </row>
    <row r="21" spans="1:12" s="2" customFormat="1" ht="24" customHeight="1">
      <c r="A21" s="62" t="s">
        <v>144</v>
      </c>
      <c r="B21" s="104">
        <v>16082167</v>
      </c>
      <c r="C21" s="123">
        <v>1</v>
      </c>
      <c r="D21" s="111">
        <f>4648824+635860+49938+24145</f>
        <v>5358767</v>
      </c>
      <c r="E21" s="106">
        <f>IF(ISERROR(D21/B21)," ",(D21/B21))</f>
        <v>0.3332117493867586</v>
      </c>
      <c r="F21" s="104"/>
      <c r="G21" s="124" t="s">
        <v>144</v>
      </c>
      <c r="H21" s="20">
        <f t="shared" si="3"/>
        <v>16082</v>
      </c>
      <c r="I21" s="107">
        <f t="shared" si="1"/>
        <v>1</v>
      </c>
      <c r="J21" s="20">
        <f>ROUND(D21/1000,0)</f>
        <v>5359</v>
      </c>
      <c r="K21" s="108">
        <f t="shared" si="2"/>
        <v>0.33322969779878125</v>
      </c>
      <c r="L21" s="20">
        <f>J21-'[3]MARTS'!J21</f>
        <v>2214</v>
      </c>
    </row>
    <row r="22" spans="1:12" s="2" customFormat="1" ht="26.25" customHeight="1">
      <c r="A22" s="62" t="s">
        <v>145</v>
      </c>
      <c r="B22" s="104">
        <v>705500</v>
      </c>
      <c r="C22" s="123">
        <v>1</v>
      </c>
      <c r="D22" s="111">
        <v>291928</v>
      </c>
      <c r="E22" s="106">
        <f t="shared" si="0"/>
        <v>0.4137888022678951</v>
      </c>
      <c r="F22" s="104"/>
      <c r="G22" s="124" t="s">
        <v>145</v>
      </c>
      <c r="H22" s="20">
        <f>ROUND(B22/1000,0)</f>
        <v>706</v>
      </c>
      <c r="I22" s="107">
        <f t="shared" si="1"/>
        <v>1</v>
      </c>
      <c r="J22" s="20">
        <f>ROUND(D22/1000,0)</f>
        <v>292</v>
      </c>
      <c r="K22" s="108">
        <f>IF(ISERROR(ROUND(J22,0)/ROUND(H22,0))," ",(ROUND(J22,)/ROUND(H22,)))</f>
        <v>0.41359773371104813</v>
      </c>
      <c r="L22" s="20">
        <f>J22-'[3]MARTS'!J22</f>
        <v>163</v>
      </c>
    </row>
    <row r="23" spans="1:12" s="2" customFormat="1" ht="12" customHeight="1">
      <c r="A23" s="62" t="s">
        <v>146</v>
      </c>
      <c r="B23" s="104">
        <v>3165885</v>
      </c>
      <c r="C23" s="123">
        <v>1</v>
      </c>
      <c r="D23" s="111">
        <f>73019+432511+114660+1078072</f>
        <v>1698262</v>
      </c>
      <c r="E23" s="106">
        <f t="shared" si="0"/>
        <v>0.5364256756009773</v>
      </c>
      <c r="F23" s="104"/>
      <c r="G23" s="124" t="s">
        <v>147</v>
      </c>
      <c r="H23" s="20">
        <f>ROUND(B23/1000,0)</f>
        <v>3166</v>
      </c>
      <c r="I23" s="107">
        <f>C23</f>
        <v>1</v>
      </c>
      <c r="J23" s="20">
        <f>ROUND(D23/1000,0)</f>
        <v>1698</v>
      </c>
      <c r="K23" s="108">
        <f>IF(ISERROR(ROUND(J23,0)/ROUND(H23,0))," ",(ROUND(J23,)/ROUND(H23,)))</f>
        <v>0.5363234365129501</v>
      </c>
      <c r="L23" s="20">
        <f>J23-'[3]MARTS'!J23</f>
        <v>414</v>
      </c>
    </row>
    <row r="24" spans="1:12" s="2" customFormat="1" ht="12.75" customHeight="1">
      <c r="A24" s="62" t="s">
        <v>148</v>
      </c>
      <c r="B24" s="104">
        <v>600000</v>
      </c>
      <c r="C24" s="123">
        <v>1</v>
      </c>
      <c r="D24" s="111">
        <v>139992</v>
      </c>
      <c r="E24" s="106">
        <f t="shared" si="0"/>
        <v>0.23332</v>
      </c>
      <c r="F24" s="104"/>
      <c r="G24" s="124" t="s">
        <v>149</v>
      </c>
      <c r="H24" s="20">
        <f t="shared" si="3"/>
        <v>600</v>
      </c>
      <c r="I24" s="107">
        <f t="shared" si="1"/>
        <v>1</v>
      </c>
      <c r="J24" s="20">
        <f aca="true" t="shared" si="4" ref="J24:J30">ROUND(D24/1000,0)</f>
        <v>140</v>
      </c>
      <c r="K24" s="108">
        <f t="shared" si="2"/>
        <v>0.23333333333333334</v>
      </c>
      <c r="L24" s="20">
        <f>J24-'[3]MARTS'!J24</f>
        <v>19</v>
      </c>
    </row>
    <row r="25" spans="1:12" s="2" customFormat="1" ht="12">
      <c r="A25" s="61" t="s">
        <v>150</v>
      </c>
      <c r="B25" s="104">
        <v>8064000</v>
      </c>
      <c r="C25" s="123">
        <v>1</v>
      </c>
      <c r="D25" s="111">
        <v>2701683</v>
      </c>
      <c r="E25" s="106">
        <f t="shared" si="0"/>
        <v>0.33503013392857145</v>
      </c>
      <c r="F25" s="104"/>
      <c r="G25" s="59" t="s">
        <v>150</v>
      </c>
      <c r="H25" s="20">
        <f t="shared" si="3"/>
        <v>8064</v>
      </c>
      <c r="I25" s="107">
        <f t="shared" si="1"/>
        <v>1</v>
      </c>
      <c r="J25" s="20">
        <f t="shared" si="4"/>
        <v>2702</v>
      </c>
      <c r="K25" s="108">
        <f t="shared" si="2"/>
        <v>0.3350694444444444</v>
      </c>
      <c r="L25" s="20">
        <f>J25-'[3]MARTS'!J25</f>
        <v>555</v>
      </c>
    </row>
    <row r="26" spans="1:12" s="2" customFormat="1" ht="12">
      <c r="A26" s="61" t="s">
        <v>151</v>
      </c>
      <c r="B26" s="104">
        <v>14992001</v>
      </c>
      <c r="C26" s="123">
        <v>1</v>
      </c>
      <c r="D26" s="111">
        <f>101327+287+1344957+3169577+49+739+3514</f>
        <v>4620450</v>
      </c>
      <c r="E26" s="106">
        <f t="shared" si="0"/>
        <v>0.3081943497735893</v>
      </c>
      <c r="F26" s="104"/>
      <c r="G26" s="59" t="s">
        <v>151</v>
      </c>
      <c r="H26" s="20">
        <f t="shared" si="3"/>
        <v>14992</v>
      </c>
      <c r="I26" s="107">
        <f t="shared" si="1"/>
        <v>1</v>
      </c>
      <c r="J26" s="20">
        <f t="shared" si="4"/>
        <v>4620</v>
      </c>
      <c r="K26" s="108">
        <f t="shared" si="2"/>
        <v>0.3081643543223052</v>
      </c>
      <c r="L26" s="20">
        <f>J26-'[3]MARTS'!J26</f>
        <v>1187</v>
      </c>
    </row>
    <row r="27" spans="1:12" s="2" customFormat="1" ht="40.5" customHeight="1">
      <c r="A27" s="125" t="s">
        <v>152</v>
      </c>
      <c r="B27" s="126">
        <v>1201200</v>
      </c>
      <c r="C27" s="123">
        <v>1</v>
      </c>
      <c r="D27" s="111">
        <v>400400</v>
      </c>
      <c r="E27" s="127">
        <f>IF(ISERROR(D27/B27)," ",(D27/B27))</f>
        <v>0.3333333333333333</v>
      </c>
      <c r="F27" s="104"/>
      <c r="G27" s="128" t="s">
        <v>153</v>
      </c>
      <c r="H27" s="21">
        <f t="shared" si="3"/>
        <v>1201</v>
      </c>
      <c r="I27" s="129">
        <f>C27</f>
        <v>1</v>
      </c>
      <c r="J27" s="20">
        <f t="shared" si="4"/>
        <v>400</v>
      </c>
      <c r="K27" s="130">
        <f>IF(ISERROR(ROUND(J27,0)/ROUND(H27,0))," ",(ROUND(J27,)/ROUND(H27,)))</f>
        <v>0.33305578684429643</v>
      </c>
      <c r="L27" s="20">
        <f>J27-'[3]MARTS'!J27</f>
        <v>200</v>
      </c>
    </row>
    <row r="28" spans="1:12" s="2" customFormat="1" ht="12.75" customHeight="1">
      <c r="A28" s="131" t="s">
        <v>154</v>
      </c>
      <c r="B28" s="126">
        <f>B26-B27</f>
        <v>13790801</v>
      </c>
      <c r="C28" s="123">
        <v>1</v>
      </c>
      <c r="D28" s="126">
        <f>D26-D27</f>
        <v>4220050</v>
      </c>
      <c r="E28" s="127">
        <f t="shared" si="0"/>
        <v>0.30600470560049414</v>
      </c>
      <c r="F28" s="104"/>
      <c r="G28" s="128" t="s">
        <v>154</v>
      </c>
      <c r="H28" s="21">
        <f t="shared" si="3"/>
        <v>13791</v>
      </c>
      <c r="I28" s="129">
        <f t="shared" si="1"/>
        <v>1</v>
      </c>
      <c r="J28" s="20">
        <f t="shared" si="4"/>
        <v>4220</v>
      </c>
      <c r="K28" s="130">
        <f t="shared" si="2"/>
        <v>0.30599666449133495</v>
      </c>
      <c r="L28" s="20">
        <f>J28-'[3]MARTS'!J28</f>
        <v>987</v>
      </c>
    </row>
    <row r="29" spans="1:12" s="2" customFormat="1" ht="15" customHeight="1">
      <c r="A29" s="62" t="s">
        <v>155</v>
      </c>
      <c r="B29" s="104">
        <f>B30</f>
        <v>228000</v>
      </c>
      <c r="C29" s="123">
        <v>1</v>
      </c>
      <c r="D29" s="104">
        <v>226451</v>
      </c>
      <c r="E29" s="127">
        <f t="shared" si="0"/>
        <v>0.9932061403508772</v>
      </c>
      <c r="F29" s="104"/>
      <c r="G29" s="124" t="s">
        <v>155</v>
      </c>
      <c r="H29" s="21">
        <f t="shared" si="3"/>
        <v>228</v>
      </c>
      <c r="I29" s="107">
        <f t="shared" si="1"/>
        <v>1</v>
      </c>
      <c r="J29" s="20">
        <f t="shared" si="4"/>
        <v>226</v>
      </c>
      <c r="K29" s="108">
        <f t="shared" si="2"/>
        <v>0.9912280701754386</v>
      </c>
      <c r="L29" s="20">
        <f>J29-'[3]MARTS'!J29</f>
        <v>128</v>
      </c>
    </row>
    <row r="30" spans="1:12" s="2" customFormat="1" ht="24">
      <c r="A30" s="132" t="s">
        <v>156</v>
      </c>
      <c r="B30" s="104">
        <v>228000</v>
      </c>
      <c r="C30" s="133"/>
      <c r="D30" s="104"/>
      <c r="E30" s="106">
        <f t="shared" si="0"/>
        <v>0</v>
      </c>
      <c r="F30" s="104">
        <f>D30-'[3]Janvāris'!F29</f>
        <v>0</v>
      </c>
      <c r="G30" s="128" t="s">
        <v>156</v>
      </c>
      <c r="H30" s="21">
        <f t="shared" si="3"/>
        <v>228</v>
      </c>
      <c r="I30" s="134">
        <v>0</v>
      </c>
      <c r="J30" s="20">
        <f t="shared" si="4"/>
        <v>0</v>
      </c>
      <c r="K30" s="108">
        <f>IF(ISERROR(J30/H30)," ",(J30/H30))</f>
        <v>0</v>
      </c>
      <c r="L30" s="20">
        <f>J30-'[3]MARTS'!J30</f>
        <v>0</v>
      </c>
    </row>
    <row r="31" spans="1:12" s="43" customFormat="1" ht="12.75">
      <c r="A31" s="135" t="s">
        <v>157</v>
      </c>
      <c r="B31" s="92">
        <f>SUM(B32)</f>
        <v>59260125</v>
      </c>
      <c r="C31" s="136">
        <v>1</v>
      </c>
      <c r="D31" s="92">
        <f>SUM(D32)</f>
        <v>17785847</v>
      </c>
      <c r="E31" s="94">
        <f t="shared" si="0"/>
        <v>0.30013178338722707</v>
      </c>
      <c r="F31" s="92">
        <f>F32</f>
        <v>0</v>
      </c>
      <c r="G31" s="135" t="s">
        <v>157</v>
      </c>
      <c r="H31" s="137">
        <f t="shared" si="3"/>
        <v>59260</v>
      </c>
      <c r="I31" s="138">
        <f>C31</f>
        <v>1</v>
      </c>
      <c r="J31" s="137">
        <f>ROUND(D31/1000,0)</f>
        <v>17786</v>
      </c>
      <c r="K31" s="97">
        <f>IF(ISERROR(J31/H31)," ",(J31/H31))</f>
        <v>0.3001349983125211</v>
      </c>
      <c r="L31" s="100">
        <f>J31-'[3]MARTS'!J31</f>
        <v>4186</v>
      </c>
    </row>
    <row r="32" spans="1:12" s="2" customFormat="1" ht="24">
      <c r="A32" s="62" t="s">
        <v>158</v>
      </c>
      <c r="B32" s="104">
        <v>59260125</v>
      </c>
      <c r="C32" s="133">
        <v>1</v>
      </c>
      <c r="D32" s="104">
        <v>17785847</v>
      </c>
      <c r="E32" s="106">
        <f t="shared" si="0"/>
        <v>0.30013178338722707</v>
      </c>
      <c r="F32" s="104"/>
      <c r="G32" s="124" t="s">
        <v>158</v>
      </c>
      <c r="H32" s="21">
        <f t="shared" si="3"/>
        <v>59260</v>
      </c>
      <c r="I32" s="130">
        <f>C32</f>
        <v>1</v>
      </c>
      <c r="J32" s="21">
        <f>ROUND(D32/1000,0)</f>
        <v>17786</v>
      </c>
      <c r="K32" s="108">
        <f>IF(ISERROR(J32/H32)," ",(J32/H32))</f>
        <v>0.3001349983125211</v>
      </c>
      <c r="L32" s="20">
        <f>J32-'[3]MARTS'!J32</f>
        <v>4186</v>
      </c>
    </row>
    <row r="33" spans="1:12" s="43" customFormat="1" ht="12.75">
      <c r="A33" s="135" t="s">
        <v>159</v>
      </c>
      <c r="B33" s="92">
        <v>31643057</v>
      </c>
      <c r="C33" s="136">
        <v>1</v>
      </c>
      <c r="D33" s="119">
        <f>12735119-190057</f>
        <v>12545062</v>
      </c>
      <c r="E33" s="120">
        <f t="shared" si="0"/>
        <v>0.396455437285974</v>
      </c>
      <c r="F33" s="117"/>
      <c r="G33" s="135" t="s">
        <v>160</v>
      </c>
      <c r="H33" s="137">
        <f>ROUND(B33/1000,0)</f>
        <v>31643</v>
      </c>
      <c r="I33" s="138">
        <f>C33</f>
        <v>1</v>
      </c>
      <c r="J33" s="137">
        <f>ROUND(D33/1000,0)</f>
        <v>12545</v>
      </c>
      <c r="K33" s="97">
        <f>IF(ISERROR(J33/H33)," ",(J33/H33))</f>
        <v>0.39645419208039695</v>
      </c>
      <c r="L33" s="100">
        <f>J33-'[3]MARTS'!J33</f>
        <v>2092</v>
      </c>
    </row>
    <row r="34" spans="1:12" s="43" customFormat="1" ht="12.75">
      <c r="A34" s="139"/>
      <c r="B34" s="140"/>
      <c r="C34" s="141"/>
      <c r="D34" s="142"/>
      <c r="E34" s="143"/>
      <c r="F34" s="142"/>
      <c r="G34" s="139"/>
      <c r="H34" s="140"/>
      <c r="I34" s="144"/>
      <c r="J34" s="142"/>
      <c r="K34" s="143"/>
      <c r="L34" s="142"/>
    </row>
    <row r="35" spans="1:11" s="43" customFormat="1" ht="12.75">
      <c r="A35" s="145" t="s">
        <v>161</v>
      </c>
      <c r="B35" s="142"/>
      <c r="C35" s="141"/>
      <c r="D35" s="142"/>
      <c r="E35" s="143"/>
      <c r="G35" s="146" t="s">
        <v>162</v>
      </c>
      <c r="H35" s="142"/>
      <c r="I35" s="144"/>
      <c r="J35" s="142"/>
      <c r="K35" s="143"/>
    </row>
    <row r="36" spans="1:11" s="43" customFormat="1" ht="12.75">
      <c r="A36" s="145" t="s">
        <v>163</v>
      </c>
      <c r="B36" s="142"/>
      <c r="C36" s="141"/>
      <c r="D36" s="142"/>
      <c r="E36" s="143"/>
      <c r="G36" s="146" t="s">
        <v>164</v>
      </c>
      <c r="H36" s="142"/>
      <c r="I36" s="144"/>
      <c r="J36" s="142"/>
      <c r="K36" s="143"/>
    </row>
    <row r="37" spans="1:11" s="43" customFormat="1" ht="12.75">
      <c r="A37" s="147" t="s">
        <v>165</v>
      </c>
      <c r="B37" s="148"/>
      <c r="C37" s="81"/>
      <c r="D37" s="149"/>
      <c r="E37" s="149"/>
      <c r="G37" s="150" t="s">
        <v>166</v>
      </c>
      <c r="H37" s="148"/>
      <c r="I37" s="34"/>
      <c r="J37" s="149"/>
      <c r="K37" s="149"/>
    </row>
    <row r="38" spans="1:11" s="43" customFormat="1" ht="12.75">
      <c r="A38" s="151" t="s">
        <v>167</v>
      </c>
      <c r="B38" s="152"/>
      <c r="C38" s="153"/>
      <c r="D38" s="152"/>
      <c r="E38" s="154"/>
      <c r="G38" s="151"/>
      <c r="H38" s="152"/>
      <c r="I38" s="152"/>
      <c r="J38" s="152"/>
      <c r="K38" s="154"/>
    </row>
    <row r="39" spans="1:11" s="43" customFormat="1" ht="12.75">
      <c r="A39" s="145"/>
      <c r="B39" s="29"/>
      <c r="C39" s="80"/>
      <c r="D39" s="30"/>
      <c r="E39" s="154"/>
      <c r="K39" s="154"/>
    </row>
    <row r="40" spans="1:3" s="43" customFormat="1" ht="12.75">
      <c r="A40" s="152"/>
      <c r="C40" s="80"/>
    </row>
    <row r="41" spans="1:7" s="43" customFormat="1" ht="12.75">
      <c r="A41" s="152"/>
      <c r="C41" s="80"/>
      <c r="G41" s="43" t="s">
        <v>168</v>
      </c>
    </row>
    <row r="42" spans="1:4" s="43" customFormat="1" ht="12.75">
      <c r="A42" s="43" t="s">
        <v>169</v>
      </c>
      <c r="B42" s="29"/>
      <c r="C42" s="80"/>
      <c r="D42" s="30"/>
    </row>
    <row r="43" spans="1:3" s="43" customFormat="1" ht="12.75">
      <c r="A43" s="152"/>
      <c r="C43" s="80"/>
    </row>
    <row r="44" s="43" customFormat="1" ht="12.75">
      <c r="C44" s="80"/>
    </row>
    <row r="45" spans="1:3" s="43" customFormat="1" ht="12.75">
      <c r="A45" s="43" t="s">
        <v>120</v>
      </c>
      <c r="C45" s="80"/>
    </row>
    <row r="46" spans="1:7" s="43" customFormat="1" ht="12.75">
      <c r="A46" s="43" t="s">
        <v>170</v>
      </c>
      <c r="C46" s="80"/>
      <c r="G46" s="39" t="s">
        <v>120</v>
      </c>
    </row>
    <row r="47" spans="1:7" s="43" customFormat="1" ht="12.75">
      <c r="A47" s="152"/>
      <c r="B47" s="152"/>
      <c r="C47" s="153"/>
      <c r="D47" s="152"/>
      <c r="E47" s="152"/>
      <c r="F47" s="152"/>
      <c r="G47" s="39" t="s">
        <v>171</v>
      </c>
    </row>
    <row r="48" spans="1:12" s="43" customFormat="1" ht="12.75">
      <c r="A48" s="152"/>
      <c r="B48" s="152"/>
      <c r="C48" s="152"/>
      <c r="D48" s="152"/>
      <c r="E48" s="152"/>
      <c r="F48" s="152"/>
      <c r="H48" s="152"/>
      <c r="I48" s="152"/>
      <c r="J48" s="152"/>
      <c r="K48" s="152"/>
      <c r="L48" s="152"/>
    </row>
    <row r="49" spans="1:12" s="43" customFormat="1" ht="12.75">
      <c r="A49" s="152"/>
      <c r="B49" s="152"/>
      <c r="C49" s="152"/>
      <c r="D49" s="152"/>
      <c r="E49" s="152"/>
      <c r="F49" s="152"/>
      <c r="H49" s="152"/>
      <c r="I49" s="152"/>
      <c r="J49" s="152"/>
      <c r="K49" s="152"/>
      <c r="L49" s="152"/>
    </row>
  </sheetData>
  <mergeCells count="1">
    <mergeCell ref="G4:L4"/>
  </mergeCells>
  <printOptions/>
  <pageMargins left="0.75" right="0.75" top="1" bottom="0.37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126"/>
  <sheetViews>
    <sheetView workbookViewId="0" topLeftCell="H1">
      <selection activeCell="C7" sqref="C7"/>
    </sheetView>
  </sheetViews>
  <sheetFormatPr defaultColWidth="9.140625" defaultRowHeight="12.75"/>
  <cols>
    <col min="1" max="1" width="28.00390625" style="43" hidden="1" customWidth="1"/>
    <col min="2" max="2" width="10.57421875" style="43" hidden="1" customWidth="1"/>
    <col min="3" max="3" width="12.421875" style="43" hidden="1" customWidth="1"/>
    <col min="4" max="4" width="10.421875" style="43" hidden="1" customWidth="1"/>
    <col min="5" max="5" width="6.28125" style="43" hidden="1" customWidth="1"/>
    <col min="6" max="6" width="10.28125" style="43" hidden="1" customWidth="1"/>
    <col min="7" max="7" width="2.28125" style="43" hidden="1" customWidth="1"/>
    <col min="8" max="8" width="24.140625" style="43" customWidth="1"/>
    <col min="9" max="9" width="12.140625" style="43" customWidth="1"/>
    <col min="10" max="10" width="12.7109375" style="43" customWidth="1"/>
    <col min="11" max="11" width="11.7109375" style="43" customWidth="1"/>
    <col min="12" max="12" width="9.421875" style="43" customWidth="1"/>
    <col min="13" max="13" width="11.8515625" style="43" customWidth="1"/>
    <col min="14" max="14" width="9.28125" style="43" customWidth="1"/>
    <col min="15" max="15" width="28.28125" style="43" hidden="1" customWidth="1"/>
    <col min="16" max="18" width="11.421875" style="43" hidden="1" customWidth="1"/>
    <col min="19" max="16384" width="11.421875" style="43" customWidth="1"/>
  </cols>
  <sheetData>
    <row r="1" spans="1:14" ht="17.25" customHeight="1">
      <c r="A1" s="32" t="s">
        <v>172</v>
      </c>
      <c r="B1" s="32"/>
      <c r="C1" s="32"/>
      <c r="D1" s="32"/>
      <c r="E1" s="32"/>
      <c r="F1" s="32"/>
      <c r="G1" s="43" t="s">
        <v>173</v>
      </c>
      <c r="H1" s="32" t="s">
        <v>172</v>
      </c>
      <c r="I1" s="32"/>
      <c r="J1" s="32"/>
      <c r="K1" s="32"/>
      <c r="L1" s="32"/>
      <c r="M1" s="32"/>
      <c r="N1" s="43" t="s">
        <v>173</v>
      </c>
    </row>
    <row r="2" spans="1:13" ht="20.25" customHeight="1">
      <c r="A2" s="32"/>
      <c r="B2" s="32"/>
      <c r="C2" s="32"/>
      <c r="D2" s="32"/>
      <c r="E2" s="32"/>
      <c r="F2" s="32"/>
      <c r="H2" s="32"/>
      <c r="I2" s="32"/>
      <c r="J2" s="32"/>
      <c r="K2" s="32"/>
      <c r="L2" s="32"/>
      <c r="M2" s="32"/>
    </row>
    <row r="3" spans="1:13" ht="18.75" customHeight="1">
      <c r="A3" s="83" t="s">
        <v>174</v>
      </c>
      <c r="B3" s="32"/>
      <c r="C3" s="32"/>
      <c r="D3" s="32"/>
      <c r="E3" s="32"/>
      <c r="F3" s="32"/>
      <c r="H3" s="155" t="s">
        <v>175</v>
      </c>
      <c r="I3" s="156"/>
      <c r="J3" s="156"/>
      <c r="K3" s="156"/>
      <c r="L3" s="156"/>
      <c r="M3" s="156"/>
    </row>
    <row r="4" spans="1:13" ht="19.5" customHeight="1">
      <c r="A4" s="447" t="s">
        <v>176</v>
      </c>
      <c r="B4" s="447"/>
      <c r="C4" s="447"/>
      <c r="D4" s="447"/>
      <c r="E4" s="447"/>
      <c r="F4" s="447"/>
      <c r="G4" s="75"/>
      <c r="H4" s="448" t="s">
        <v>176</v>
      </c>
      <c r="I4" s="448"/>
      <c r="J4" s="448"/>
      <c r="K4" s="448"/>
      <c r="L4" s="448"/>
      <c r="M4" s="448"/>
    </row>
    <row r="5" spans="1:13" ht="19.5" customHeight="1">
      <c r="A5" s="446" t="s">
        <v>177</v>
      </c>
      <c r="B5" s="446"/>
      <c r="C5" s="446"/>
      <c r="D5" s="446"/>
      <c r="E5" s="446"/>
      <c r="F5" s="446"/>
      <c r="G5" s="75"/>
      <c r="H5" s="446" t="s">
        <v>177</v>
      </c>
      <c r="I5" s="446"/>
      <c r="J5" s="446"/>
      <c r="K5" s="446"/>
      <c r="L5" s="446"/>
      <c r="M5" s="446"/>
    </row>
    <row r="6" spans="1:13" ht="19.5" customHeight="1">
      <c r="A6" s="157"/>
      <c r="B6" s="157"/>
      <c r="C6" s="157"/>
      <c r="D6" s="157"/>
      <c r="E6" s="157"/>
      <c r="F6" s="157"/>
      <c r="G6" s="75"/>
      <c r="H6" s="157"/>
      <c r="I6" s="157"/>
      <c r="J6" s="157"/>
      <c r="K6" s="157"/>
      <c r="L6" s="157"/>
      <c r="M6" s="157"/>
    </row>
    <row r="7" spans="7:14" ht="15" customHeight="1">
      <c r="G7" s="43" t="s">
        <v>178</v>
      </c>
      <c r="H7" s="446"/>
      <c r="I7" s="446"/>
      <c r="J7" s="446"/>
      <c r="K7" s="446"/>
      <c r="L7" s="446"/>
      <c r="M7" s="446"/>
      <c r="N7" s="43" t="s">
        <v>48</v>
      </c>
    </row>
    <row r="8" spans="1:19" ht="76.5" customHeight="1">
      <c r="A8" s="85" t="s">
        <v>2</v>
      </c>
      <c r="B8" s="85" t="s">
        <v>49</v>
      </c>
      <c r="C8" s="85" t="s">
        <v>179</v>
      </c>
      <c r="D8" s="85" t="s">
        <v>50</v>
      </c>
      <c r="E8" s="85" t="s">
        <v>180</v>
      </c>
      <c r="F8" s="85" t="s">
        <v>181</v>
      </c>
      <c r="G8" s="85" t="s">
        <v>6</v>
      </c>
      <c r="H8" s="87" t="s">
        <v>2</v>
      </c>
      <c r="I8" s="87" t="s">
        <v>49</v>
      </c>
      <c r="J8" s="87" t="s">
        <v>179</v>
      </c>
      <c r="K8" s="87" t="s">
        <v>50</v>
      </c>
      <c r="L8" s="87" t="s">
        <v>180</v>
      </c>
      <c r="M8" s="87" t="s">
        <v>182</v>
      </c>
      <c r="N8" s="87" t="s">
        <v>6</v>
      </c>
      <c r="O8" s="85" t="str">
        <f>H8</f>
        <v>Rādītāji</v>
      </c>
      <c r="P8" s="85" t="str">
        <f>K8</f>
        <v>Izpilde no gada sākuma</v>
      </c>
      <c r="Q8" s="85" t="str">
        <f>'[4]februāris'!K8</f>
        <v>Izpilde no gada sākuma</v>
      </c>
      <c r="R8" s="85" t="s">
        <v>183</v>
      </c>
      <c r="S8" s="158"/>
    </row>
    <row r="9" spans="1:18" ht="10.5" customHeight="1">
      <c r="A9" s="85">
        <v>1</v>
      </c>
      <c r="B9" s="85">
        <v>2</v>
      </c>
      <c r="C9" s="85">
        <v>3</v>
      </c>
      <c r="D9" s="85">
        <v>4</v>
      </c>
      <c r="E9" s="85">
        <v>5</v>
      </c>
      <c r="F9" s="85">
        <v>6</v>
      </c>
      <c r="G9" s="159">
        <v>7</v>
      </c>
      <c r="H9" s="85">
        <v>1</v>
      </c>
      <c r="I9" s="85">
        <v>2</v>
      </c>
      <c r="J9" s="85">
        <v>3</v>
      </c>
      <c r="K9" s="85">
        <v>4</v>
      </c>
      <c r="L9" s="85">
        <v>5</v>
      </c>
      <c r="M9" s="85">
        <v>6</v>
      </c>
      <c r="N9" s="159">
        <v>7</v>
      </c>
      <c r="O9" s="85">
        <f aca="true" t="shared" si="0" ref="O9:O73">H9</f>
        <v>1</v>
      </c>
      <c r="P9" s="85">
        <f aca="true" t="shared" si="1" ref="P9:P73">K9</f>
        <v>4</v>
      </c>
      <c r="Q9" s="85">
        <f>'[4]februāris'!K9</f>
        <v>4</v>
      </c>
      <c r="R9" s="54"/>
    </row>
    <row r="10" spans="1:18" ht="10.5" customHeight="1">
      <c r="A10" s="85"/>
      <c r="B10" s="85"/>
      <c r="C10" s="85"/>
      <c r="D10" s="85"/>
      <c r="E10" s="85"/>
      <c r="F10" s="85"/>
      <c r="G10" s="159"/>
      <c r="H10" s="85"/>
      <c r="I10" s="85"/>
      <c r="J10" s="85"/>
      <c r="K10" s="85"/>
      <c r="L10" s="85"/>
      <c r="M10" s="85"/>
      <c r="N10" s="159"/>
      <c r="O10" s="85"/>
      <c r="P10" s="85"/>
      <c r="Q10" s="85"/>
      <c r="R10" s="54"/>
    </row>
    <row r="11" spans="1:104" s="164" customFormat="1" ht="15" customHeight="1">
      <c r="A11" s="160" t="s">
        <v>184</v>
      </c>
      <c r="B11" s="161">
        <f>SUM(B12:B13)</f>
        <v>759846889</v>
      </c>
      <c r="C11" s="161">
        <f>SUM(C12:C13)</f>
        <v>241418100</v>
      </c>
      <c r="D11" s="161">
        <f>SUM(D12:D13)</f>
        <v>221534762</v>
      </c>
      <c r="E11" s="162">
        <f>IF(ISERROR(D11/B11)," ",(D11/B11))</f>
        <v>0.2915518444663922</v>
      </c>
      <c r="F11" s="162">
        <f>IF(ISERROR(D11/C11)," ",(D11/C11))</f>
        <v>0.9176394064902341</v>
      </c>
      <c r="G11" s="161">
        <f>SUM(G12:G13)</f>
        <v>117675901.99000001</v>
      </c>
      <c r="H11" s="160" t="s">
        <v>184</v>
      </c>
      <c r="I11" s="161">
        <f>SUM(I12:I13)</f>
        <v>759847</v>
      </c>
      <c r="J11" s="161">
        <f>SUM(J12:J13)</f>
        <v>241417</v>
      </c>
      <c r="K11" s="161">
        <f>SUM(K12:K13)</f>
        <v>221534</v>
      </c>
      <c r="L11" s="163">
        <f>IF(ISERROR(ROUND(K11,0)/ROUND(I11,0))," ",(ROUND(K11,)/ROUND(I11,)))</f>
        <v>0.2915507990424388</v>
      </c>
      <c r="M11" s="163">
        <f>IF(ISERROR(ROUND(K11,0)/ROUND(J11,0))," ",(ROUND(K11,)/ROUND(J11,)))</f>
        <v>0.9176404312869434</v>
      </c>
      <c r="N11" s="161">
        <f>SUM(N12:N13)</f>
        <v>60389</v>
      </c>
      <c r="O11" s="87" t="str">
        <f t="shared" si="0"/>
        <v>   Izdevumi - kopā </v>
      </c>
      <c r="P11" s="87">
        <f t="shared" si="1"/>
        <v>221534</v>
      </c>
      <c r="Q11" s="87">
        <f>'[4]Marts'!K10</f>
        <v>161145</v>
      </c>
      <c r="R11" s="61">
        <f>P11-Q11</f>
        <v>60389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4" s="165" customFormat="1" ht="13.5" customHeight="1">
      <c r="A12" s="115" t="s">
        <v>185</v>
      </c>
      <c r="B12" s="23">
        <f>B15+B18+B21+B24+B27+B30+B33+B36+B39+B42+B45+B48+B51+B56+B59+B62+B65+B68+B70+B73+B76+B79+B81+B83+B86+B88+B91+B94+B97</f>
        <v>694317503</v>
      </c>
      <c r="C12" s="23">
        <f>C15+C18+C21+C24+C27+C30+C33+C36+C39+C42+C45+C48+C51+C56+C59+C62+C65+C68+C70+C73+C76+C79+C81+C83+C86+C88+C91+C94+C97</f>
        <v>224873639</v>
      </c>
      <c r="D12" s="23">
        <f>D15+D18+D21+D24+D27+D30+D33+D36+D39+D42+D45+D48+D51+D56+D59+D62+D65+D68+D70+D73+D76+D79+D81+D83+D86+D88+D91+D94+D97</f>
        <v>210839005</v>
      </c>
      <c r="E12" s="56">
        <f aca="true" t="shared" si="2" ref="E12:E75">IF(ISERROR(D12/B12)," ",(D12/B12))</f>
        <v>0.30366367560807406</v>
      </c>
      <c r="F12" s="56">
        <f aca="true" t="shared" si="3" ref="F12:F75">IF(ISERROR(D12/C12)," ",(D12/C12))</f>
        <v>0.9375887984807325</v>
      </c>
      <c r="G12" s="23">
        <f>G15+G18+G21+G24+G27+G30+G33+G36+G39+G42+G45+G48+G51+G56+G59+G62+G65+G68+G70+G73+G76+G79+G81+G83+G86+G88+G91+G94+G97</f>
        <v>111049794.4</v>
      </c>
      <c r="H12" s="115" t="s">
        <v>185</v>
      </c>
      <c r="I12" s="23">
        <f>I15+I18+I21+I24+I27+I30+I33+I36+I39+I42+I45+I48+I51+I56+I59+I62+I65+I68+I70+I73+I76+I79+I81+I83+I86+I88+I91+I94+I97-2</f>
        <v>694318</v>
      </c>
      <c r="J12" s="23">
        <f>J15+J18+J21+J24+J27+J30+J33+J36+J39+J42+J45+J48+J51+J56+J59+J62+J65+J68+J70+J73+J76+J79+J81+J83+J86+J88+J91+J94+J97</f>
        <v>224873</v>
      </c>
      <c r="K12" s="23">
        <f>K15+K18+K21+K24+K27+K30+K33+K36+K39+K42+K45+K48+K51+K56+K59+K62+K65+K70+K73+K76+K83+K88+K91+K94+K68+K79+K81+K86+K97</f>
        <v>210838</v>
      </c>
      <c r="L12" s="56">
        <f>IF(ISERROR(K12/I12)," ",(K12/I12))</f>
        <v>0.30366201077892263</v>
      </c>
      <c r="M12" s="56">
        <f>IF(ISERROR(K12/J12)," ",(K12/J12))</f>
        <v>0.937586993547469</v>
      </c>
      <c r="N12" s="23">
        <f>N15+N18+N21+N24+N27+N30+N33+N36+N39+N42+N45+N48+N51+N56+N59+N62+N65+N70+N73+N76+N83+N88+N91+N94+N68+N79+N81+N86+N97</f>
        <v>56272</v>
      </c>
      <c r="O12" s="85" t="str">
        <f t="shared" si="0"/>
        <v>     Uzturēšanas izdevumi</v>
      </c>
      <c r="P12" s="85">
        <f t="shared" si="1"/>
        <v>210838</v>
      </c>
      <c r="Q12" s="85">
        <f>'[4]Marts'!K11</f>
        <v>154566</v>
      </c>
      <c r="R12" s="54">
        <f aca="true" t="shared" si="4" ref="R12:R75">P12-Q12</f>
        <v>56272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</row>
    <row r="13" spans="1:104" s="165" customFormat="1" ht="14.25" customHeight="1">
      <c r="A13" s="115" t="s">
        <v>186</v>
      </c>
      <c r="B13" s="23">
        <f>B16+B19+B22+B25+B28+B31+B34+B37+B40+B43+B46+B49+B52+B57+B60+B63+B66+B71+B74+B77+B84+B89+B92+B95</f>
        <v>65529386</v>
      </c>
      <c r="C13" s="23">
        <f>C16+C19+C22+C25+C28+C31+C34+C37+C40+C43+C46+C49+C52+C57+C60+C63+C66+C71+C74+C77+C84+C89+C92+C95</f>
        <v>16544461</v>
      </c>
      <c r="D13" s="23">
        <f>D16+D19+D22+D25+D28+D31+D34+D37+D40+D43+D46+D49+D52+D57+D60+D63+D66+D71+D74+D77+D84+D89+D92+D95</f>
        <v>10695757</v>
      </c>
      <c r="E13" s="56">
        <f t="shared" si="2"/>
        <v>0.1632207724333019</v>
      </c>
      <c r="F13" s="56">
        <f t="shared" si="3"/>
        <v>0.6464856727577889</v>
      </c>
      <c r="G13" s="23">
        <f>G16+G19+G22+G25+G28+G31+G34+G37+G40+G43+G46+G49+G52+G57+G60+G63+G66+G71+G74+G77+G84+G89+G92+G95</f>
        <v>6626107.59</v>
      </c>
      <c r="H13" s="115" t="s">
        <v>186</v>
      </c>
      <c r="I13" s="23">
        <f>I16+I19+I22+I25+I28+I31+I34+I37+I40+I43+I46+I49+I52+I57+I60+I63+I66+I71+I74+I77+I84+I89+I92+I95-1</f>
        <v>65529</v>
      </c>
      <c r="J13" s="23">
        <f>J16+J19+J22+J25+J28+J31+J34+J37+J40+J43+J46+J49+J52+J57+J60+J63+J66+J71+J74+J77+J84+J89+J92+J95</f>
        <v>16544</v>
      </c>
      <c r="K13" s="23">
        <f>K16+K19+K22+K25+K28+K31+K34+K37+K40+K43+K46+K49+K52+K57+K60+K63+K66+K71+K74+K77+K84+K89+K92+K95</f>
        <v>10696</v>
      </c>
      <c r="L13" s="166">
        <f aca="true" t="shared" si="5" ref="L13:L52">IF(ISERROR(ROUND(K13,0)/ROUND(I13,0))," ",(ROUND(K13,)/ROUND(I13,)))</f>
        <v>0.163225442170642</v>
      </c>
      <c r="M13" s="56">
        <f>IF(ISERROR(K13/J13)," ",(K13/J13))</f>
        <v>0.6465183752417795</v>
      </c>
      <c r="N13" s="23">
        <f>N16+N19+N22+N25+N28+N31+N34+N37+N40+N43+N46+N49+N52+N57+N60+N63+N66+N71+N74+N77+N84+N89+N92+N95</f>
        <v>4117</v>
      </c>
      <c r="O13" s="85" t="str">
        <f t="shared" si="0"/>
        <v>     Izdevumi kapitālieguldījumiem</v>
      </c>
      <c r="P13" s="85">
        <f t="shared" si="1"/>
        <v>10696</v>
      </c>
      <c r="Q13" s="85">
        <f>'[4]Marts'!K12</f>
        <v>6579</v>
      </c>
      <c r="R13" s="54">
        <f t="shared" si="4"/>
        <v>4117</v>
      </c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</row>
    <row r="14" spans="1:104" s="168" customFormat="1" ht="15.75" customHeight="1">
      <c r="A14" s="53" t="s">
        <v>187</v>
      </c>
      <c r="B14" s="167">
        <f>SUM(B15:B16)</f>
        <v>871809</v>
      </c>
      <c r="C14" s="167">
        <f>SUM(C15:C16)</f>
        <v>324831</v>
      </c>
      <c r="D14" s="167">
        <f>SUM(D15:D16)</f>
        <v>282688</v>
      </c>
      <c r="E14" s="162">
        <f t="shared" si="2"/>
        <v>0.3242545098754429</v>
      </c>
      <c r="F14" s="162">
        <f t="shared" si="3"/>
        <v>0.8702617668880125</v>
      </c>
      <c r="G14" s="167">
        <f>SUM(G15:G16)</f>
        <v>148410.01</v>
      </c>
      <c r="H14" s="53" t="s">
        <v>188</v>
      </c>
      <c r="I14" s="167">
        <f>SUM(I15:I16)</f>
        <v>872</v>
      </c>
      <c r="J14" s="167">
        <f>SUM(J15:J16)</f>
        <v>325</v>
      </c>
      <c r="K14" s="167">
        <f>SUM(K15:K16)</f>
        <v>282</v>
      </c>
      <c r="L14" s="163">
        <f t="shared" si="5"/>
        <v>0.32339449541284404</v>
      </c>
      <c r="M14" s="163">
        <f aca="true" t="shared" si="6" ref="M14:M52">IF(ISERROR(ROUND(K14,0)/ROUND(J14,0))," ",(ROUND(K14,)/ROUND(J14,)))</f>
        <v>0.8676923076923077</v>
      </c>
      <c r="N14" s="167">
        <f>SUM(N15:N16)</f>
        <v>65</v>
      </c>
      <c r="O14" s="87" t="str">
        <f t="shared" si="0"/>
        <v>Valsts prezidenta kanceleja</v>
      </c>
      <c r="P14" s="87">
        <f t="shared" si="1"/>
        <v>282</v>
      </c>
      <c r="Q14" s="87">
        <f>'[4]Marts'!K13</f>
        <v>217</v>
      </c>
      <c r="R14" s="61">
        <f t="shared" si="4"/>
        <v>65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</row>
    <row r="15" spans="1:104" s="165" customFormat="1" ht="14.25" customHeight="1">
      <c r="A15" s="115" t="s">
        <v>185</v>
      </c>
      <c r="B15" s="169">
        <v>815909</v>
      </c>
      <c r="C15" s="169">
        <v>279031</v>
      </c>
      <c r="D15" s="170">
        <f>69944+16898+20969+128441+36223</f>
        <v>272475</v>
      </c>
      <c r="E15" s="56">
        <f t="shared" si="2"/>
        <v>0.33395268344876694</v>
      </c>
      <c r="F15" s="56">
        <f t="shared" si="3"/>
        <v>0.9765044027366135</v>
      </c>
      <c r="G15" s="169">
        <f>D15-'[4]februāris'!D14</f>
        <v>142468.2</v>
      </c>
      <c r="H15" s="115" t="s">
        <v>185</v>
      </c>
      <c r="I15" s="169">
        <f aca="true" t="shared" si="7" ref="I15:K16">ROUND(B15/1000,0)</f>
        <v>816</v>
      </c>
      <c r="J15" s="169">
        <f>ROUND(C15/1000,0)</f>
        <v>279</v>
      </c>
      <c r="K15" s="169">
        <f>ROUND(D15/1000,0)</f>
        <v>272</v>
      </c>
      <c r="L15" s="166">
        <f t="shared" si="5"/>
        <v>0.3333333333333333</v>
      </c>
      <c r="M15" s="166">
        <f t="shared" si="6"/>
        <v>0.974910394265233</v>
      </c>
      <c r="N15" s="169">
        <f>K15-'[4]Marts'!K14</f>
        <v>61</v>
      </c>
      <c r="O15" s="85" t="str">
        <f t="shared" si="0"/>
        <v>     Uzturēšanas izdevumi</v>
      </c>
      <c r="P15" s="85">
        <f t="shared" si="1"/>
        <v>272</v>
      </c>
      <c r="Q15" s="85">
        <f>'[4]Marts'!K14</f>
        <v>211</v>
      </c>
      <c r="R15" s="54">
        <f t="shared" si="4"/>
        <v>61</v>
      </c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</row>
    <row r="16" spans="1:104" s="165" customFormat="1" ht="12.75">
      <c r="A16" s="115" t="s">
        <v>186</v>
      </c>
      <c r="B16" s="169">
        <v>55900</v>
      </c>
      <c r="C16" s="169">
        <v>45800</v>
      </c>
      <c r="D16" s="170">
        <f>10213</f>
        <v>10213</v>
      </c>
      <c r="E16" s="56">
        <f t="shared" si="2"/>
        <v>0.18270125223613595</v>
      </c>
      <c r="F16" s="56">
        <f t="shared" si="3"/>
        <v>0.22299126637554584</v>
      </c>
      <c r="G16" s="169">
        <f>D16-'[4]februāris'!D15</f>
        <v>5941.81</v>
      </c>
      <c r="H16" s="115" t="s">
        <v>186</v>
      </c>
      <c r="I16" s="169">
        <f t="shared" si="7"/>
        <v>56</v>
      </c>
      <c r="J16" s="169">
        <f>ROUND(C16/1000,0)</f>
        <v>46</v>
      </c>
      <c r="K16" s="169">
        <f t="shared" si="7"/>
        <v>10</v>
      </c>
      <c r="L16" s="166">
        <f t="shared" si="5"/>
        <v>0.17857142857142858</v>
      </c>
      <c r="M16" s="166">
        <f t="shared" si="6"/>
        <v>0.21739130434782608</v>
      </c>
      <c r="N16" s="169">
        <f>K16-'[4]Marts'!K15</f>
        <v>4</v>
      </c>
      <c r="O16" s="85" t="str">
        <f t="shared" si="0"/>
        <v>     Izdevumi kapitālieguldījumiem</v>
      </c>
      <c r="P16" s="85">
        <f t="shared" si="1"/>
        <v>10</v>
      </c>
      <c r="Q16" s="85">
        <f>'[4]Marts'!K15</f>
        <v>6</v>
      </c>
      <c r="R16" s="54">
        <f t="shared" si="4"/>
        <v>4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</row>
    <row r="17" spans="1:104" s="168" customFormat="1" ht="16.5" customHeight="1">
      <c r="A17" s="68" t="s">
        <v>189</v>
      </c>
      <c r="B17" s="167">
        <f>SUM(B18:B19)</f>
        <v>6668322</v>
      </c>
      <c r="C17" s="167">
        <f>SUM(C18:C19)</f>
        <v>2073612</v>
      </c>
      <c r="D17" s="167">
        <f>SUM(D18:D19)</f>
        <v>1935680</v>
      </c>
      <c r="E17" s="162">
        <f t="shared" si="2"/>
        <v>0.2902799234949962</v>
      </c>
      <c r="F17" s="162">
        <f t="shared" si="3"/>
        <v>0.9334822522246207</v>
      </c>
      <c r="G17" s="167">
        <f>SUM(G18:G19)</f>
        <v>1216785.1099999999</v>
      </c>
      <c r="H17" s="68" t="s">
        <v>189</v>
      </c>
      <c r="I17" s="167">
        <f>SUM(I18:I19)</f>
        <v>6668</v>
      </c>
      <c r="J17" s="167">
        <f>SUM(J18:J19)</f>
        <v>2074</v>
      </c>
      <c r="K17" s="167">
        <f>SUM(K18:K19)</f>
        <v>1936</v>
      </c>
      <c r="L17" s="163">
        <f t="shared" si="5"/>
        <v>0.2903419316136773</v>
      </c>
      <c r="M17" s="163">
        <f t="shared" si="6"/>
        <v>0.9334619093539055</v>
      </c>
      <c r="N17" s="167">
        <f>SUM(N18:N19)</f>
        <v>522</v>
      </c>
      <c r="O17" s="87" t="str">
        <f t="shared" si="0"/>
        <v>Saeima</v>
      </c>
      <c r="P17" s="87">
        <f t="shared" si="1"/>
        <v>1936</v>
      </c>
      <c r="Q17" s="87">
        <f>'[4]Marts'!K16</f>
        <v>1414</v>
      </c>
      <c r="R17" s="61">
        <f t="shared" si="4"/>
        <v>522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</row>
    <row r="18" spans="1:104" s="165" customFormat="1" ht="12.75">
      <c r="A18" s="115" t="s">
        <v>185</v>
      </c>
      <c r="B18" s="169">
        <v>5553887</v>
      </c>
      <c r="C18" s="169">
        <v>1731612</v>
      </c>
      <c r="D18" s="169">
        <f>852015+189779+111280+304906+135588+5115+3310+40581</f>
        <v>1642574</v>
      </c>
      <c r="E18" s="56">
        <f t="shared" si="2"/>
        <v>0.29575214619958956</v>
      </c>
      <c r="F18" s="56">
        <f t="shared" si="3"/>
        <v>0.9485808599155007</v>
      </c>
      <c r="G18" s="169">
        <f>D18-'[4]februāris'!D17</f>
        <v>974133.6</v>
      </c>
      <c r="H18" s="115" t="s">
        <v>185</v>
      </c>
      <c r="I18" s="169">
        <f aca="true" t="shared" si="8" ref="I18:K19">ROUND(B18/1000,0)</f>
        <v>5554</v>
      </c>
      <c r="J18" s="169">
        <f t="shared" si="8"/>
        <v>1732</v>
      </c>
      <c r="K18" s="169">
        <f t="shared" si="8"/>
        <v>1643</v>
      </c>
      <c r="L18" s="166">
        <f t="shared" si="5"/>
        <v>0.2958228303925099</v>
      </c>
      <c r="M18" s="166">
        <f t="shared" si="6"/>
        <v>0.9486143187066974</v>
      </c>
      <c r="N18" s="169">
        <f>K18-'[4]Marts'!K17</f>
        <v>457</v>
      </c>
      <c r="O18" s="85" t="str">
        <f t="shared" si="0"/>
        <v>     Uzturēšanas izdevumi</v>
      </c>
      <c r="P18" s="85">
        <f t="shared" si="1"/>
        <v>1643</v>
      </c>
      <c r="Q18" s="85">
        <f>'[4]Marts'!K17</f>
        <v>1186</v>
      </c>
      <c r="R18" s="54">
        <f t="shared" si="4"/>
        <v>457</v>
      </c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</row>
    <row r="19" spans="1:104" s="165" customFormat="1" ht="12.75">
      <c r="A19" s="115" t="s">
        <v>186</v>
      </c>
      <c r="B19" s="169">
        <v>1114435</v>
      </c>
      <c r="C19" s="169">
        <v>342000</v>
      </c>
      <c r="D19" s="169">
        <f>99139+193967</f>
        <v>293106</v>
      </c>
      <c r="E19" s="56">
        <f t="shared" si="2"/>
        <v>0.26300860974395096</v>
      </c>
      <c r="F19" s="56">
        <f t="shared" si="3"/>
        <v>0.8570350877192983</v>
      </c>
      <c r="G19" s="169">
        <f>D19-'[4]februāris'!D18</f>
        <v>242651.51</v>
      </c>
      <c r="H19" s="115" t="s">
        <v>186</v>
      </c>
      <c r="I19" s="169">
        <f>ROUND(B19/1000,0)</f>
        <v>1114</v>
      </c>
      <c r="J19" s="169">
        <f t="shared" si="8"/>
        <v>342</v>
      </c>
      <c r="K19" s="169">
        <f>ROUND(D19/1000,0)</f>
        <v>293</v>
      </c>
      <c r="L19" s="166">
        <f t="shared" si="5"/>
        <v>0.263016157989228</v>
      </c>
      <c r="M19" s="166">
        <f t="shared" si="6"/>
        <v>0.8567251461988304</v>
      </c>
      <c r="N19" s="169">
        <f>K19-'[4]Marts'!K18</f>
        <v>65</v>
      </c>
      <c r="O19" s="85" t="str">
        <f t="shared" si="0"/>
        <v>     Izdevumi kapitālieguldījumiem</v>
      </c>
      <c r="P19" s="85">
        <f t="shared" si="1"/>
        <v>293</v>
      </c>
      <c r="Q19" s="85">
        <f>'[4]Marts'!K18</f>
        <v>228</v>
      </c>
      <c r="R19" s="54">
        <f t="shared" si="4"/>
        <v>65</v>
      </c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</row>
    <row r="20" spans="1:104" s="168" customFormat="1" ht="13.5" customHeight="1">
      <c r="A20" s="68" t="s">
        <v>190</v>
      </c>
      <c r="B20" s="167">
        <f>SUM(B21:B22)</f>
        <v>3229056</v>
      </c>
      <c r="C20" s="167">
        <f>SUM(C21:C22)</f>
        <v>1031737</v>
      </c>
      <c r="D20" s="167">
        <f>SUM(D21:D22)</f>
        <v>930689</v>
      </c>
      <c r="E20" s="162">
        <f t="shared" si="2"/>
        <v>0.28822324543148214</v>
      </c>
      <c r="F20" s="162">
        <f t="shared" si="3"/>
        <v>0.9020603118818071</v>
      </c>
      <c r="G20" s="167">
        <f>SUM(G21:G22)</f>
        <v>485828.81999999995</v>
      </c>
      <c r="H20" s="68" t="s">
        <v>190</v>
      </c>
      <c r="I20" s="167">
        <f>SUM(I21:I22)</f>
        <v>3229</v>
      </c>
      <c r="J20" s="167">
        <f>SUM(J21:J22)</f>
        <v>1032</v>
      </c>
      <c r="K20" s="167">
        <f>SUM(K21:K22)</f>
        <v>931</v>
      </c>
      <c r="L20" s="163">
        <f t="shared" si="5"/>
        <v>0.2883245586869</v>
      </c>
      <c r="M20" s="163">
        <f t="shared" si="6"/>
        <v>0.9021317829457365</v>
      </c>
      <c r="N20" s="167">
        <f>SUM(N21:N22)</f>
        <v>223</v>
      </c>
      <c r="O20" s="87" t="str">
        <f t="shared" si="0"/>
        <v>Ministru Kabinets</v>
      </c>
      <c r="P20" s="87">
        <f t="shared" si="1"/>
        <v>931</v>
      </c>
      <c r="Q20" s="87">
        <f>'[4]Marts'!K19</f>
        <v>708</v>
      </c>
      <c r="R20" s="61">
        <f t="shared" si="4"/>
        <v>223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</row>
    <row r="21" spans="1:104" s="165" customFormat="1" ht="12.75">
      <c r="A21" s="115" t="s">
        <v>185</v>
      </c>
      <c r="B21" s="169">
        <v>3092876</v>
      </c>
      <c r="C21" s="169">
        <v>998967</v>
      </c>
      <c r="D21" s="169">
        <f>354785+105639+11156+331358+75705+520+30000</f>
        <v>909163</v>
      </c>
      <c r="E21" s="56">
        <f t="shared" si="2"/>
        <v>0.2939539121516673</v>
      </c>
      <c r="F21" s="56">
        <f t="shared" si="3"/>
        <v>0.9101031365400458</v>
      </c>
      <c r="G21" s="169">
        <f>D21-'[4]februāris'!D20</f>
        <v>472817.35</v>
      </c>
      <c r="H21" s="115" t="s">
        <v>185</v>
      </c>
      <c r="I21" s="169">
        <f>ROUND(B21/1000,0)</f>
        <v>3093</v>
      </c>
      <c r="J21" s="169">
        <f aca="true" t="shared" si="9" ref="I21:K22">ROUND(C21/1000,0)</f>
        <v>999</v>
      </c>
      <c r="K21" s="169">
        <f>ROUND(D21/1000,0)</f>
        <v>909</v>
      </c>
      <c r="L21" s="166">
        <f t="shared" si="5"/>
        <v>0.2938894277400582</v>
      </c>
      <c r="M21" s="166">
        <f t="shared" si="6"/>
        <v>0.9099099099099099</v>
      </c>
      <c r="N21" s="169">
        <f>K21-'[4]Marts'!K20</f>
        <v>215</v>
      </c>
      <c r="O21" s="85" t="str">
        <f t="shared" si="0"/>
        <v>     Uzturēšanas izdevumi</v>
      </c>
      <c r="P21" s="85">
        <f t="shared" si="1"/>
        <v>909</v>
      </c>
      <c r="Q21" s="85">
        <f>'[4]Marts'!K20</f>
        <v>694</v>
      </c>
      <c r="R21" s="54">
        <f t="shared" si="4"/>
        <v>215</v>
      </c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</row>
    <row r="22" spans="1:104" s="165" customFormat="1" ht="12.75">
      <c r="A22" s="115" t="s">
        <v>186</v>
      </c>
      <c r="B22" s="169">
        <v>136180</v>
      </c>
      <c r="C22" s="169">
        <v>32770</v>
      </c>
      <c r="D22" s="169">
        <f>10093+11433</f>
        <v>21526</v>
      </c>
      <c r="E22" s="56">
        <f t="shared" si="2"/>
        <v>0.15807020120428844</v>
      </c>
      <c r="F22" s="56">
        <f t="shared" si="3"/>
        <v>0.6568812938663412</v>
      </c>
      <c r="G22" s="169">
        <f>D22-'[4]februāris'!D21</f>
        <v>13011.47</v>
      </c>
      <c r="H22" s="115" t="s">
        <v>186</v>
      </c>
      <c r="I22" s="169">
        <f t="shared" si="9"/>
        <v>136</v>
      </c>
      <c r="J22" s="169">
        <f t="shared" si="9"/>
        <v>33</v>
      </c>
      <c r="K22" s="169">
        <f t="shared" si="9"/>
        <v>22</v>
      </c>
      <c r="L22" s="166">
        <f t="shared" si="5"/>
        <v>0.16176470588235295</v>
      </c>
      <c r="M22" s="166">
        <f t="shared" si="6"/>
        <v>0.6666666666666666</v>
      </c>
      <c r="N22" s="169">
        <f>K22-'[4]Marts'!K21</f>
        <v>8</v>
      </c>
      <c r="O22" s="85" t="str">
        <f t="shared" si="0"/>
        <v>     Izdevumi kapitālieguldījumiem</v>
      </c>
      <c r="P22" s="85">
        <f t="shared" si="1"/>
        <v>22</v>
      </c>
      <c r="Q22" s="85">
        <f>'[4]Marts'!K21</f>
        <v>14</v>
      </c>
      <c r="R22" s="54">
        <f t="shared" si="4"/>
        <v>8</v>
      </c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</row>
    <row r="23" spans="1:104" s="168" customFormat="1" ht="15" customHeight="1">
      <c r="A23" s="68" t="s">
        <v>191</v>
      </c>
      <c r="B23" s="167">
        <f>SUM(B24:B25)</f>
        <v>43048485</v>
      </c>
      <c r="C23" s="167">
        <f>SUM(C24:C25)</f>
        <v>13016640</v>
      </c>
      <c r="D23" s="167">
        <f>SUM(D24:D25)</f>
        <v>12063146</v>
      </c>
      <c r="E23" s="162">
        <f t="shared" si="2"/>
        <v>0.2802223121208563</v>
      </c>
      <c r="F23" s="162">
        <f t="shared" si="3"/>
        <v>0.9267480701624997</v>
      </c>
      <c r="G23" s="167">
        <f>SUM(G24:G25)</f>
        <v>6449902.57</v>
      </c>
      <c r="H23" s="68" t="s">
        <v>191</v>
      </c>
      <c r="I23" s="167">
        <f>SUM(I24:I25)</f>
        <v>43048</v>
      </c>
      <c r="J23" s="167">
        <f>SUM(J24:J25)</f>
        <v>13017</v>
      </c>
      <c r="K23" s="167">
        <f>SUM(K24:K25)</f>
        <v>12063</v>
      </c>
      <c r="L23" s="163">
        <f t="shared" si="5"/>
        <v>0.2802220776807285</v>
      </c>
      <c r="M23" s="163">
        <f t="shared" si="6"/>
        <v>0.9267112237842821</v>
      </c>
      <c r="N23" s="167">
        <f>SUM(N24:N25)</f>
        <v>3158</v>
      </c>
      <c r="O23" s="87" t="str">
        <f t="shared" si="0"/>
        <v>Aizsardzības ministrija</v>
      </c>
      <c r="P23" s="87">
        <f t="shared" si="1"/>
        <v>12063</v>
      </c>
      <c r="Q23" s="87">
        <f>'[4]Marts'!K22</f>
        <v>8905</v>
      </c>
      <c r="R23" s="61">
        <f t="shared" si="4"/>
        <v>3158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</row>
    <row r="24" spans="1:104" s="165" customFormat="1" ht="12.75">
      <c r="A24" s="115" t="s">
        <v>185</v>
      </c>
      <c r="B24" s="169">
        <v>38658304</v>
      </c>
      <c r="C24" s="169">
        <v>12454090</v>
      </c>
      <c r="D24" s="169">
        <f>5083120+1317769+319157+1086316+3567289+2950+155653+146958+288+82836</f>
        <v>11762336</v>
      </c>
      <c r="E24" s="56">
        <f t="shared" si="2"/>
        <v>0.30426414981888494</v>
      </c>
      <c r="F24" s="56">
        <f t="shared" si="3"/>
        <v>0.944455676809787</v>
      </c>
      <c r="G24" s="169">
        <f>D24-'[4]februāris'!D23</f>
        <v>6321130.34</v>
      </c>
      <c r="H24" s="115" t="s">
        <v>185</v>
      </c>
      <c r="I24" s="169">
        <f aca="true" t="shared" si="10" ref="I24:K25">ROUND(B24/1000,0)</f>
        <v>38658</v>
      </c>
      <c r="J24" s="169">
        <f>ROUND(C24/1000,0)</f>
        <v>12454</v>
      </c>
      <c r="K24" s="169">
        <f t="shared" si="10"/>
        <v>11762</v>
      </c>
      <c r="L24" s="166">
        <f t="shared" si="5"/>
        <v>0.304257850897615</v>
      </c>
      <c r="M24" s="166">
        <f t="shared" si="6"/>
        <v>0.944435522723623</v>
      </c>
      <c r="N24" s="169">
        <f>K24-'[4]Marts'!K23</f>
        <v>3082</v>
      </c>
      <c r="O24" s="85" t="str">
        <f t="shared" si="0"/>
        <v>     Uzturēšanas izdevumi</v>
      </c>
      <c r="P24" s="85">
        <f t="shared" si="1"/>
        <v>11762</v>
      </c>
      <c r="Q24" s="85">
        <f>'[4]Marts'!K23</f>
        <v>8680</v>
      </c>
      <c r="R24" s="54">
        <f t="shared" si="4"/>
        <v>3082</v>
      </c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</row>
    <row r="25" spans="1:104" s="165" customFormat="1" ht="12.75">
      <c r="A25" s="115" t="s">
        <v>186</v>
      </c>
      <c r="B25" s="169">
        <v>4390181</v>
      </c>
      <c r="C25" s="169">
        <v>562550</v>
      </c>
      <c r="D25" s="169">
        <f>123200+166983+10000+216+411</f>
        <v>300810</v>
      </c>
      <c r="E25" s="56">
        <f t="shared" si="2"/>
        <v>0.06851881505568905</v>
      </c>
      <c r="F25" s="56">
        <f t="shared" si="3"/>
        <v>0.5347258021509199</v>
      </c>
      <c r="G25" s="169">
        <f>D25-'[4]februāris'!D24</f>
        <v>128772.23000000001</v>
      </c>
      <c r="H25" s="115" t="s">
        <v>186</v>
      </c>
      <c r="I25" s="169">
        <f t="shared" si="10"/>
        <v>4390</v>
      </c>
      <c r="J25" s="169">
        <f t="shared" si="10"/>
        <v>563</v>
      </c>
      <c r="K25" s="169">
        <f t="shared" si="10"/>
        <v>301</v>
      </c>
      <c r="L25" s="166">
        <f t="shared" si="5"/>
        <v>0.06856492027334853</v>
      </c>
      <c r="M25" s="166">
        <f t="shared" si="6"/>
        <v>0.5346358792184724</v>
      </c>
      <c r="N25" s="169">
        <f>K25-'[4]Marts'!K24</f>
        <v>76</v>
      </c>
      <c r="O25" s="85" t="str">
        <f t="shared" si="0"/>
        <v>     Izdevumi kapitālieguldījumiem</v>
      </c>
      <c r="P25" s="85">
        <f t="shared" si="1"/>
        <v>301</v>
      </c>
      <c r="Q25" s="85">
        <f>'[4]Marts'!K24</f>
        <v>225</v>
      </c>
      <c r="R25" s="54">
        <f t="shared" si="4"/>
        <v>76</v>
      </c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</row>
    <row r="26" spans="1:104" s="168" customFormat="1" ht="14.25" customHeight="1">
      <c r="A26" s="68" t="s">
        <v>192</v>
      </c>
      <c r="B26" s="167">
        <f>SUM(B27:B28)</f>
        <v>10927250</v>
      </c>
      <c r="C26" s="167">
        <f>SUM(C27:C28)</f>
        <v>3454156</v>
      </c>
      <c r="D26" s="167">
        <f>SUM(D27:D28)</f>
        <v>3242389</v>
      </c>
      <c r="E26" s="162">
        <f t="shared" si="2"/>
        <v>0.2967250680637855</v>
      </c>
      <c r="F26" s="162">
        <f t="shared" si="3"/>
        <v>0.9386921146583999</v>
      </c>
      <c r="G26" s="167">
        <f>SUM(G27:G28)</f>
        <v>1446303.29</v>
      </c>
      <c r="H26" s="68" t="s">
        <v>192</v>
      </c>
      <c r="I26" s="167">
        <f>SUM(I27:I28)</f>
        <v>10927</v>
      </c>
      <c r="J26" s="167">
        <f>SUM(J27:J28)</f>
        <v>3454</v>
      </c>
      <c r="K26" s="167">
        <f>SUM(K27:K28)</f>
        <v>3242</v>
      </c>
      <c r="L26" s="163">
        <f t="shared" si="5"/>
        <v>0.29669625697812757</v>
      </c>
      <c r="M26" s="163">
        <f t="shared" si="6"/>
        <v>0.9386218876664737</v>
      </c>
      <c r="N26" s="167">
        <f>SUM(N27:N28)</f>
        <v>749</v>
      </c>
      <c r="O26" s="87" t="str">
        <f t="shared" si="0"/>
        <v>Ārlietu ministrija</v>
      </c>
      <c r="P26" s="87">
        <f t="shared" si="1"/>
        <v>3242</v>
      </c>
      <c r="Q26" s="87">
        <f>'[4]Marts'!K25</f>
        <v>2493</v>
      </c>
      <c r="R26" s="61">
        <f t="shared" si="4"/>
        <v>749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</row>
    <row r="27" spans="1:104" s="165" customFormat="1" ht="12.75">
      <c r="A27" s="115" t="s">
        <v>185</v>
      </c>
      <c r="B27" s="169">
        <v>10619950</v>
      </c>
      <c r="C27" s="169">
        <v>3317456</v>
      </c>
      <c r="D27" s="169">
        <f>1176199+110130+192988+921223+122766+593635</f>
        <v>3116941</v>
      </c>
      <c r="E27" s="56">
        <f t="shared" si="2"/>
        <v>0.29349865112359286</v>
      </c>
      <c r="F27" s="56">
        <f t="shared" si="3"/>
        <v>0.9395576007639589</v>
      </c>
      <c r="G27" s="169">
        <f>D27-'[4]februāris'!D26</f>
        <v>1373315.08</v>
      </c>
      <c r="H27" s="115" t="s">
        <v>185</v>
      </c>
      <c r="I27" s="169">
        <f aca="true" t="shared" si="11" ref="I27:K28">ROUND(B27/1000,0)</f>
        <v>10620</v>
      </c>
      <c r="J27" s="169">
        <f>ROUND(C27/1000,0)</f>
        <v>3317</v>
      </c>
      <c r="K27" s="169">
        <f t="shared" si="11"/>
        <v>3117</v>
      </c>
      <c r="L27" s="166">
        <f t="shared" si="5"/>
        <v>0.29350282485875706</v>
      </c>
      <c r="M27" s="166">
        <f t="shared" si="6"/>
        <v>0.9397045523063009</v>
      </c>
      <c r="N27" s="169">
        <f>K27-'[4]Marts'!K26</f>
        <v>713</v>
      </c>
      <c r="O27" s="85" t="str">
        <f t="shared" si="0"/>
        <v>     Uzturēšanas izdevumi</v>
      </c>
      <c r="P27" s="85">
        <f t="shared" si="1"/>
        <v>3117</v>
      </c>
      <c r="Q27" s="85">
        <f>'[4]Marts'!K26</f>
        <v>2404</v>
      </c>
      <c r="R27" s="54">
        <f t="shared" si="4"/>
        <v>713</v>
      </c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</row>
    <row r="28" spans="1:104" s="165" customFormat="1" ht="12.75">
      <c r="A28" s="115" t="s">
        <v>186</v>
      </c>
      <c r="B28" s="169">
        <v>307300</v>
      </c>
      <c r="C28" s="169">
        <v>136700</v>
      </c>
      <c r="D28" s="169">
        <f>125448</f>
        <v>125448</v>
      </c>
      <c r="E28" s="56">
        <f t="shared" si="2"/>
        <v>0.4082264887731858</v>
      </c>
      <c r="F28" s="56">
        <f t="shared" si="3"/>
        <v>0.9176883686905632</v>
      </c>
      <c r="G28" s="169">
        <f>D28-'[4]februāris'!D27</f>
        <v>72988.20999999999</v>
      </c>
      <c r="H28" s="115" t="s">
        <v>186</v>
      </c>
      <c r="I28" s="169">
        <f t="shared" si="11"/>
        <v>307</v>
      </c>
      <c r="J28" s="169">
        <f t="shared" si="11"/>
        <v>137</v>
      </c>
      <c r="K28" s="169">
        <f t="shared" si="11"/>
        <v>125</v>
      </c>
      <c r="L28" s="166">
        <f t="shared" si="5"/>
        <v>0.40716612377850164</v>
      </c>
      <c r="M28" s="166">
        <f t="shared" si="6"/>
        <v>0.9124087591240876</v>
      </c>
      <c r="N28" s="169">
        <f>K28-'[4]Marts'!K27</f>
        <v>36</v>
      </c>
      <c r="O28" s="85" t="str">
        <f t="shared" si="0"/>
        <v>     Izdevumi kapitālieguldījumiem</v>
      </c>
      <c r="P28" s="85">
        <f t="shared" si="1"/>
        <v>125</v>
      </c>
      <c r="Q28" s="85">
        <f>'[4]Marts'!K27</f>
        <v>89</v>
      </c>
      <c r="R28" s="54">
        <f t="shared" si="4"/>
        <v>36</v>
      </c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</row>
    <row r="29" spans="1:104" s="168" customFormat="1" ht="14.25" customHeight="1">
      <c r="A29" s="68" t="s">
        <v>193</v>
      </c>
      <c r="B29" s="167">
        <f>SUM(B30:B31)</f>
        <v>8644865</v>
      </c>
      <c r="C29" s="167">
        <f>SUM(C30:C31)</f>
        <v>3608580</v>
      </c>
      <c r="D29" s="167">
        <f>SUM(D30:D31)</f>
        <v>1960237</v>
      </c>
      <c r="E29" s="162">
        <f t="shared" si="2"/>
        <v>0.22675160340849743</v>
      </c>
      <c r="F29" s="162">
        <f>IF(ISERROR(D29/C29)," ",(D29/C29))</f>
        <v>0.5432156138979876</v>
      </c>
      <c r="G29" s="167">
        <f>SUM(G30:G31)</f>
        <v>1019931.49</v>
      </c>
      <c r="H29" s="68" t="s">
        <v>193</v>
      </c>
      <c r="I29" s="167">
        <f>SUM(I30:I31)</f>
        <v>8645</v>
      </c>
      <c r="J29" s="171">
        <f>SUM(J30:J31)</f>
        <v>3609</v>
      </c>
      <c r="K29" s="167">
        <f>SUM(K30:K31)</f>
        <v>1960</v>
      </c>
      <c r="L29" s="163">
        <f t="shared" si="5"/>
        <v>0.22672064777327935</v>
      </c>
      <c r="M29" s="163">
        <f t="shared" si="6"/>
        <v>0.543086727625381</v>
      </c>
      <c r="N29" s="167">
        <f>SUM(N30:N31)</f>
        <v>488</v>
      </c>
      <c r="O29" s="87" t="str">
        <f t="shared" si="0"/>
        <v>Ekonomikas ministrija</v>
      </c>
      <c r="P29" s="87">
        <f t="shared" si="1"/>
        <v>1960</v>
      </c>
      <c r="Q29" s="87">
        <f>'[4]Marts'!K28</f>
        <v>1472</v>
      </c>
      <c r="R29" s="61">
        <f t="shared" si="4"/>
        <v>488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</row>
    <row r="30" spans="1:104" s="165" customFormat="1" ht="12.75">
      <c r="A30" s="115" t="s">
        <v>185</v>
      </c>
      <c r="B30" s="169">
        <v>6804899</v>
      </c>
      <c r="C30" s="169">
        <v>2766380</v>
      </c>
      <c r="D30" s="169">
        <f>597678+165333+57483+631400+35259+233+346+12000+375000+48267+17319</f>
        <v>1940318</v>
      </c>
      <c r="E30" s="56">
        <f t="shared" si="2"/>
        <v>0.285135459027386</v>
      </c>
      <c r="F30" s="56">
        <f>IF(ISERROR(D30/C30)," ",(D30/C30))</f>
        <v>0.7013924334328617</v>
      </c>
      <c r="G30" s="169">
        <f>D30-'[4]februāris'!D29</f>
        <v>1006169.55</v>
      </c>
      <c r="H30" s="115" t="s">
        <v>185</v>
      </c>
      <c r="I30" s="169">
        <f aca="true" t="shared" si="12" ref="I30:K31">ROUND(B30/1000,0)</f>
        <v>6805</v>
      </c>
      <c r="J30" s="169">
        <f>ROUND(C30/1000,0)+1</f>
        <v>2767</v>
      </c>
      <c r="K30" s="169">
        <f t="shared" si="12"/>
        <v>1940</v>
      </c>
      <c r="L30" s="166">
        <f t="shared" si="5"/>
        <v>0.28508449669360764</v>
      </c>
      <c r="M30" s="166">
        <f t="shared" si="6"/>
        <v>0.7011203469461511</v>
      </c>
      <c r="N30" s="169">
        <f>K30-'[4]Marts'!K29</f>
        <v>482</v>
      </c>
      <c r="O30" s="85" t="str">
        <f t="shared" si="0"/>
        <v>     Uzturēšanas izdevumi</v>
      </c>
      <c r="P30" s="85">
        <f t="shared" si="1"/>
        <v>1940</v>
      </c>
      <c r="Q30" s="85">
        <f>'[4]Marts'!K29</f>
        <v>1458</v>
      </c>
      <c r="R30" s="54">
        <f t="shared" si="4"/>
        <v>482</v>
      </c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</row>
    <row r="31" spans="1:104" s="165" customFormat="1" ht="12.75">
      <c r="A31" s="115" t="s">
        <v>186</v>
      </c>
      <c r="B31" s="169">
        <v>1839966</v>
      </c>
      <c r="C31" s="169">
        <v>842200</v>
      </c>
      <c r="D31" s="169">
        <f>4560+15359</f>
        <v>19919</v>
      </c>
      <c r="E31" s="56">
        <f t="shared" si="2"/>
        <v>0.010825743519173724</v>
      </c>
      <c r="F31" s="56">
        <f>IF(ISERROR(D31/C31)," ",(D31/C31))</f>
        <v>0.023651151745428638</v>
      </c>
      <c r="G31" s="169">
        <f>D31-'[4]februāris'!D30</f>
        <v>13761.939999999999</v>
      </c>
      <c r="H31" s="115" t="s">
        <v>186</v>
      </c>
      <c r="I31" s="169">
        <f t="shared" si="12"/>
        <v>1840</v>
      </c>
      <c r="J31" s="169">
        <f>ROUND(C31/1000,0)</f>
        <v>842</v>
      </c>
      <c r="K31" s="169">
        <f>ROUND(D31/1000,0)</f>
        <v>20</v>
      </c>
      <c r="L31" s="166">
        <f t="shared" si="5"/>
        <v>0.010869565217391304</v>
      </c>
      <c r="M31" s="166">
        <f t="shared" si="6"/>
        <v>0.023752969121140142</v>
      </c>
      <c r="N31" s="169">
        <f>K31-'[4]Marts'!K30</f>
        <v>6</v>
      </c>
      <c r="O31" s="85" t="str">
        <f t="shared" si="0"/>
        <v>     Izdevumi kapitālieguldījumiem</v>
      </c>
      <c r="P31" s="85">
        <f t="shared" si="1"/>
        <v>20</v>
      </c>
      <c r="Q31" s="85">
        <f>'[4]Marts'!K30</f>
        <v>14</v>
      </c>
      <c r="R31" s="54">
        <f t="shared" si="4"/>
        <v>6</v>
      </c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</row>
    <row r="32" spans="1:104" s="168" customFormat="1" ht="14.25" customHeight="1">
      <c r="A32" s="68" t="s">
        <v>194</v>
      </c>
      <c r="B32" s="167">
        <f>SUM(B33:B34)</f>
        <v>94170225</v>
      </c>
      <c r="C32" s="167">
        <f>SUM(C33:C34)</f>
        <v>30738080</v>
      </c>
      <c r="D32" s="167">
        <f>SUM(D33:D34)</f>
        <v>27489019</v>
      </c>
      <c r="E32" s="162">
        <f t="shared" si="2"/>
        <v>0.29190775534411223</v>
      </c>
      <c r="F32" s="162">
        <f t="shared" si="3"/>
        <v>0.8942985053067726</v>
      </c>
      <c r="G32" s="167">
        <f>SUM(G33:G34)</f>
        <v>15460099.67</v>
      </c>
      <c r="H32" s="68" t="s">
        <v>194</v>
      </c>
      <c r="I32" s="167">
        <f>SUM(I33:I34)</f>
        <v>94171</v>
      </c>
      <c r="J32" s="167">
        <f>SUM(J33:J34)</f>
        <v>30738</v>
      </c>
      <c r="K32" s="167">
        <f>SUM(K33:K34)</f>
        <v>27489</v>
      </c>
      <c r="L32" s="163">
        <f t="shared" si="5"/>
        <v>0.2919051512673753</v>
      </c>
      <c r="M32" s="163">
        <f t="shared" si="6"/>
        <v>0.8943002147179387</v>
      </c>
      <c r="N32" s="167">
        <f>SUM(N33:N34)</f>
        <v>7733</v>
      </c>
      <c r="O32" s="87" t="str">
        <f t="shared" si="0"/>
        <v>Finansu ministrija</v>
      </c>
      <c r="P32" s="87">
        <f t="shared" si="1"/>
        <v>27489</v>
      </c>
      <c r="Q32" s="87">
        <f>'[4]Marts'!K31</f>
        <v>19756</v>
      </c>
      <c r="R32" s="61">
        <f t="shared" si="4"/>
        <v>7733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</row>
    <row r="33" spans="1:104" s="165" customFormat="1" ht="12.75">
      <c r="A33" s="115" t="s">
        <v>185</v>
      </c>
      <c r="B33" s="169">
        <v>85269146</v>
      </c>
      <c r="C33" s="169">
        <v>26634013</v>
      </c>
      <c r="D33" s="169">
        <f>5149582+1368035+103742+2717956+664407+1665+5025894+4270972+281804+4358813+350118+87331</f>
        <v>24380319</v>
      </c>
      <c r="E33" s="56">
        <f t="shared" si="2"/>
        <v>0.2859219324185562</v>
      </c>
      <c r="F33" s="56">
        <f t="shared" si="3"/>
        <v>0.9153828602546676</v>
      </c>
      <c r="G33" s="169">
        <f>D33-'[4]februāris'!D32</f>
        <v>14128972.14</v>
      </c>
      <c r="H33" s="115" t="s">
        <v>185</v>
      </c>
      <c r="I33" s="169">
        <f>ROUND(B33/1000,0)+1</f>
        <v>85270</v>
      </c>
      <c r="J33" s="169">
        <f>ROUND(C33/1000,0)</f>
        <v>26634</v>
      </c>
      <c r="K33" s="169">
        <f>ROUND(D33/1000,0)+1</f>
        <v>24381</v>
      </c>
      <c r="L33" s="166">
        <f t="shared" si="5"/>
        <v>0.2859270552363082</v>
      </c>
      <c r="M33" s="166">
        <f t="shared" si="6"/>
        <v>0.9154088758729444</v>
      </c>
      <c r="N33" s="169">
        <f>K33-'[4]Marts'!K32</f>
        <v>7072</v>
      </c>
      <c r="O33" s="85" t="str">
        <f t="shared" si="0"/>
        <v>     Uzturēšanas izdevumi</v>
      </c>
      <c r="P33" s="85">
        <f t="shared" si="1"/>
        <v>24381</v>
      </c>
      <c r="Q33" s="85">
        <f>'[4]Marts'!K32</f>
        <v>17309</v>
      </c>
      <c r="R33" s="54">
        <f t="shared" si="4"/>
        <v>7072</v>
      </c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</row>
    <row r="34" spans="1:104" s="165" customFormat="1" ht="12.75">
      <c r="A34" s="115" t="s">
        <v>186</v>
      </c>
      <c r="B34" s="169">
        <v>8901079</v>
      </c>
      <c r="C34" s="169">
        <v>4104067</v>
      </c>
      <c r="D34" s="169">
        <f>76582+150+26940+3005028</f>
        <v>3108700</v>
      </c>
      <c r="E34" s="56">
        <f t="shared" si="2"/>
        <v>0.349249793199229</v>
      </c>
      <c r="F34" s="56">
        <f t="shared" si="3"/>
        <v>0.7574681407491641</v>
      </c>
      <c r="G34" s="169">
        <f>D34-'[4]februāris'!D33</f>
        <v>1331127.53</v>
      </c>
      <c r="H34" s="115" t="s">
        <v>186</v>
      </c>
      <c r="I34" s="169">
        <f>ROUND(B34/1000,0)</f>
        <v>8901</v>
      </c>
      <c r="J34" s="169">
        <f>ROUND(C34/1000,0)</f>
        <v>4104</v>
      </c>
      <c r="K34" s="169">
        <f>ROUND(D34/1000,0)-1</f>
        <v>3108</v>
      </c>
      <c r="L34" s="166">
        <f t="shared" si="5"/>
        <v>0.3491742500842602</v>
      </c>
      <c r="M34" s="166">
        <f t="shared" si="6"/>
        <v>0.7573099415204678</v>
      </c>
      <c r="N34" s="169">
        <f>K34-'[4]Marts'!K33</f>
        <v>661</v>
      </c>
      <c r="O34" s="85" t="str">
        <f t="shared" si="0"/>
        <v>     Izdevumi kapitālieguldījumiem</v>
      </c>
      <c r="P34" s="85">
        <f t="shared" si="1"/>
        <v>3108</v>
      </c>
      <c r="Q34" s="85">
        <f>'[4]Marts'!K33</f>
        <v>2447</v>
      </c>
      <c r="R34" s="54">
        <f t="shared" si="4"/>
        <v>661</v>
      </c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</row>
    <row r="35" spans="1:104" s="168" customFormat="1" ht="15.75" customHeight="1">
      <c r="A35" s="68" t="s">
        <v>195</v>
      </c>
      <c r="B35" s="167">
        <f>SUM(B36:B37)</f>
        <v>80356226</v>
      </c>
      <c r="C35" s="167">
        <f>SUM(C36:C37)</f>
        <v>26234824</v>
      </c>
      <c r="D35" s="167">
        <f>SUM(D36:D37)</f>
        <v>25135658</v>
      </c>
      <c r="E35" s="162">
        <f t="shared" si="2"/>
        <v>0.31280286856677414</v>
      </c>
      <c r="F35" s="162">
        <f t="shared" si="3"/>
        <v>0.958102787348602</v>
      </c>
      <c r="G35" s="167">
        <f>SUM(G36:G37)</f>
        <v>13385190.719999999</v>
      </c>
      <c r="H35" s="68" t="s">
        <v>195</v>
      </c>
      <c r="I35" s="167">
        <f>SUM(I36:I37)</f>
        <v>80356</v>
      </c>
      <c r="J35" s="171">
        <f>SUM(J36:J37)</f>
        <v>26234</v>
      </c>
      <c r="K35" s="167">
        <f>SUM(K36:K37)</f>
        <v>25136</v>
      </c>
      <c r="L35" s="163">
        <f t="shared" si="5"/>
        <v>0.31280800438050677</v>
      </c>
      <c r="M35" s="163">
        <f t="shared" si="6"/>
        <v>0.9581459175116261</v>
      </c>
      <c r="N35" s="167">
        <f>SUM(N36:N37)</f>
        <v>6978</v>
      </c>
      <c r="O35" s="87" t="str">
        <f t="shared" si="0"/>
        <v>Iekšlietu ministrija</v>
      </c>
      <c r="P35" s="87">
        <f t="shared" si="1"/>
        <v>25136</v>
      </c>
      <c r="Q35" s="87">
        <f>'[4]Marts'!K34</f>
        <v>18158</v>
      </c>
      <c r="R35" s="61">
        <f t="shared" si="4"/>
        <v>6978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</row>
    <row r="36" spans="1:104" s="165" customFormat="1" ht="12.75">
      <c r="A36" s="115" t="s">
        <v>185</v>
      </c>
      <c r="B36" s="169">
        <v>71471397</v>
      </c>
      <c r="C36" s="169">
        <v>24550374</v>
      </c>
      <c r="D36" s="169">
        <f>11066696+3116736+95916+3395007+5337482+1015+145285+158000+403379+15419</f>
        <v>23734935</v>
      </c>
      <c r="E36" s="56">
        <f t="shared" si="2"/>
        <v>0.33208998279409596</v>
      </c>
      <c r="F36" s="56">
        <f t="shared" si="3"/>
        <v>0.9667850681215692</v>
      </c>
      <c r="G36" s="169">
        <f>D36-'[4]februāris'!D35</f>
        <v>12180172.84</v>
      </c>
      <c r="H36" s="115" t="s">
        <v>185</v>
      </c>
      <c r="I36" s="169">
        <f aca="true" t="shared" si="13" ref="I36:K37">ROUND(B36/1000,0)</f>
        <v>71471</v>
      </c>
      <c r="J36" s="169">
        <f t="shared" si="13"/>
        <v>24550</v>
      </c>
      <c r="K36" s="169">
        <f t="shared" si="13"/>
        <v>23735</v>
      </c>
      <c r="L36" s="166">
        <f t="shared" si="5"/>
        <v>0.33209273691427293</v>
      </c>
      <c r="M36" s="166">
        <f t="shared" si="6"/>
        <v>0.9668024439918533</v>
      </c>
      <c r="N36" s="169">
        <f>K36-'[4]Marts'!K35</f>
        <v>5957</v>
      </c>
      <c r="O36" s="85" t="str">
        <f t="shared" si="0"/>
        <v>     Uzturēšanas izdevumi</v>
      </c>
      <c r="P36" s="85">
        <f t="shared" si="1"/>
        <v>23735</v>
      </c>
      <c r="Q36" s="85">
        <f>'[4]Marts'!K35</f>
        <v>17778</v>
      </c>
      <c r="R36" s="54">
        <f t="shared" si="4"/>
        <v>5957</v>
      </c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</row>
    <row r="37" spans="1:104" s="165" customFormat="1" ht="12.75">
      <c r="A37" s="115" t="s">
        <v>186</v>
      </c>
      <c r="B37" s="169">
        <v>8884829</v>
      </c>
      <c r="C37" s="169">
        <v>1684450</v>
      </c>
      <c r="D37" s="169">
        <f>201443+179593+1019687</f>
        <v>1400723</v>
      </c>
      <c r="E37" s="56">
        <f t="shared" si="2"/>
        <v>0.15765334369406547</v>
      </c>
      <c r="F37" s="56">
        <f t="shared" si="3"/>
        <v>0.831561043664104</v>
      </c>
      <c r="G37" s="169">
        <f>D37-'[4]februāris'!D36</f>
        <v>1205017.88</v>
      </c>
      <c r="H37" s="115" t="s">
        <v>186</v>
      </c>
      <c r="I37" s="169">
        <f t="shared" si="13"/>
        <v>8885</v>
      </c>
      <c r="J37" s="169">
        <f>ROUND(C37/1000,0)</f>
        <v>1684</v>
      </c>
      <c r="K37" s="169">
        <f>ROUND(D37/1000,0)</f>
        <v>1401</v>
      </c>
      <c r="L37" s="166">
        <f t="shared" si="5"/>
        <v>0.15768148564997186</v>
      </c>
      <c r="M37" s="166">
        <f t="shared" si="6"/>
        <v>0.8319477434679335</v>
      </c>
      <c r="N37" s="169">
        <f>K37-'[4]Marts'!K36</f>
        <v>1021</v>
      </c>
      <c r="O37" s="85" t="str">
        <f t="shared" si="0"/>
        <v>     Izdevumi kapitālieguldījumiem</v>
      </c>
      <c r="P37" s="85">
        <f t="shared" si="1"/>
        <v>1401</v>
      </c>
      <c r="Q37" s="85">
        <f>'[4]Marts'!K36</f>
        <v>380</v>
      </c>
      <c r="R37" s="54">
        <f t="shared" si="4"/>
        <v>1021</v>
      </c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</row>
    <row r="38" spans="1:104" s="168" customFormat="1" ht="23.25" customHeight="1">
      <c r="A38" s="53" t="s">
        <v>196</v>
      </c>
      <c r="B38" s="167">
        <f>SUM(B39:B40)</f>
        <v>76848226</v>
      </c>
      <c r="C38" s="167">
        <f>SUM(C39:C40)</f>
        <v>23701660</v>
      </c>
      <c r="D38" s="167">
        <f>SUM(D39:D40)</f>
        <v>19867806</v>
      </c>
      <c r="E38" s="162">
        <f t="shared" si="2"/>
        <v>0.25853304668347193</v>
      </c>
      <c r="F38" s="162">
        <f t="shared" si="3"/>
        <v>0.8382453380902435</v>
      </c>
      <c r="G38" s="167">
        <f>SUM(G39:G40)</f>
        <v>10349896.08</v>
      </c>
      <c r="H38" s="53" t="s">
        <v>196</v>
      </c>
      <c r="I38" s="167">
        <f>SUM(I39:I40)</f>
        <v>76848</v>
      </c>
      <c r="J38" s="167">
        <f>SUM(J39:J40)</f>
        <v>23702</v>
      </c>
      <c r="K38" s="167">
        <f>SUM(K39:K40)</f>
        <v>19867</v>
      </c>
      <c r="L38" s="163">
        <f t="shared" si="5"/>
        <v>0.2585233187591089</v>
      </c>
      <c r="M38" s="163">
        <f t="shared" si="6"/>
        <v>0.8381993080752679</v>
      </c>
      <c r="N38" s="167">
        <f>SUM(N39:N40)</f>
        <v>5221</v>
      </c>
      <c r="O38" s="87" t="str">
        <f t="shared" si="0"/>
        <v>Izglītības un zinātnes ministrija</v>
      </c>
      <c r="P38" s="87">
        <f t="shared" si="1"/>
        <v>19867</v>
      </c>
      <c r="Q38" s="87">
        <f>'[4]Marts'!K37</f>
        <v>14646</v>
      </c>
      <c r="R38" s="61">
        <f t="shared" si="4"/>
        <v>5221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</row>
    <row r="39" spans="1:104" s="165" customFormat="1" ht="14.25" customHeight="1">
      <c r="A39" s="115" t="s">
        <v>185</v>
      </c>
      <c r="B39" s="169">
        <v>71672045</v>
      </c>
      <c r="C39" s="169">
        <v>22586848</v>
      </c>
      <c r="D39" s="169">
        <f>320+6787712+1801453+271612+2567135+2645051+139769+473198+29148+2031092+376383+1187987+924495</f>
        <v>19235355</v>
      </c>
      <c r="E39" s="56">
        <f t="shared" si="2"/>
        <v>0.2683801613306834</v>
      </c>
      <c r="F39" s="56">
        <f t="shared" si="3"/>
        <v>0.8516174988205526</v>
      </c>
      <c r="G39" s="169">
        <f>D39-'[4]februāris'!D38</f>
        <v>9888747.19</v>
      </c>
      <c r="H39" s="115" t="s">
        <v>185</v>
      </c>
      <c r="I39" s="169">
        <f aca="true" t="shared" si="14" ref="I39:K40">ROUND(B39/1000,0)</f>
        <v>71672</v>
      </c>
      <c r="J39" s="169">
        <f t="shared" si="14"/>
        <v>22587</v>
      </c>
      <c r="K39" s="169">
        <f t="shared" si="14"/>
        <v>19235</v>
      </c>
      <c r="L39" s="166">
        <f t="shared" si="5"/>
        <v>0.26837537671615136</v>
      </c>
      <c r="M39" s="166">
        <f t="shared" si="6"/>
        <v>0.8515960508256962</v>
      </c>
      <c r="N39" s="169">
        <f>K39-'[4]Marts'!K38</f>
        <v>4961</v>
      </c>
      <c r="O39" s="85" t="str">
        <f t="shared" si="0"/>
        <v>     Uzturēšanas izdevumi</v>
      </c>
      <c r="P39" s="85">
        <f t="shared" si="1"/>
        <v>19235</v>
      </c>
      <c r="Q39" s="85">
        <f>'[4]Marts'!K38</f>
        <v>14274</v>
      </c>
      <c r="R39" s="54">
        <f t="shared" si="4"/>
        <v>4961</v>
      </c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</row>
    <row r="40" spans="1:104" s="165" customFormat="1" ht="12.75" customHeight="1">
      <c r="A40" s="115" t="s">
        <v>186</v>
      </c>
      <c r="B40" s="169">
        <v>5176181</v>
      </c>
      <c r="C40" s="169">
        <v>1114812</v>
      </c>
      <c r="D40" s="169">
        <f>230069+300+5357+3814+68646+324265</f>
        <v>632451</v>
      </c>
      <c r="E40" s="56">
        <f t="shared" si="2"/>
        <v>0.12218486950127903</v>
      </c>
      <c r="F40" s="56">
        <f t="shared" si="3"/>
        <v>0.5673162829248339</v>
      </c>
      <c r="G40" s="169">
        <f>D40-'[4]februāris'!D39</f>
        <v>461148.89</v>
      </c>
      <c r="H40" s="115" t="s">
        <v>186</v>
      </c>
      <c r="I40" s="169">
        <f t="shared" si="14"/>
        <v>5176</v>
      </c>
      <c r="J40" s="169">
        <f>ROUND(C40/1000,0)</f>
        <v>1115</v>
      </c>
      <c r="K40" s="169">
        <f t="shared" si="14"/>
        <v>632</v>
      </c>
      <c r="L40" s="166">
        <f t="shared" si="5"/>
        <v>0.12210200927357033</v>
      </c>
      <c r="M40" s="166">
        <f t="shared" si="6"/>
        <v>0.5668161434977579</v>
      </c>
      <c r="N40" s="169">
        <f>K40-'[4]Marts'!K39</f>
        <v>260</v>
      </c>
      <c r="O40" s="85" t="str">
        <f t="shared" si="0"/>
        <v>     Izdevumi kapitālieguldījumiem</v>
      </c>
      <c r="P40" s="85">
        <f t="shared" si="1"/>
        <v>632</v>
      </c>
      <c r="Q40" s="85">
        <f>'[4]Marts'!K39</f>
        <v>372</v>
      </c>
      <c r="R40" s="54">
        <f t="shared" si="4"/>
        <v>260</v>
      </c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</row>
    <row r="41" spans="1:18" s="2" customFormat="1" ht="14.25" customHeight="1">
      <c r="A41" s="68" t="s">
        <v>197</v>
      </c>
      <c r="B41" s="167">
        <f>SUM(B42:B43)</f>
        <v>71481894</v>
      </c>
      <c r="C41" s="167">
        <f>SUM(C42:C43)</f>
        <v>18018947</v>
      </c>
      <c r="D41" s="167">
        <f>SUM(D42:D43)</f>
        <v>15025319</v>
      </c>
      <c r="E41" s="162">
        <f t="shared" si="2"/>
        <v>0.21019755016564054</v>
      </c>
      <c r="F41" s="162">
        <f t="shared" si="3"/>
        <v>0.8338622118151521</v>
      </c>
      <c r="G41" s="167">
        <f>SUM(G42:G43)</f>
        <v>7715310.34</v>
      </c>
      <c r="H41" s="68" t="s">
        <v>197</v>
      </c>
      <c r="I41" s="167">
        <f>SUM(I42:I43)</f>
        <v>71482</v>
      </c>
      <c r="J41" s="167">
        <f>SUM(J42:J43)</f>
        <v>18019</v>
      </c>
      <c r="K41" s="167">
        <f>SUM(K42:K43)</f>
        <v>15025</v>
      </c>
      <c r="L41" s="163">
        <f t="shared" si="5"/>
        <v>0.21019277580369883</v>
      </c>
      <c r="M41" s="163">
        <f t="shared" si="6"/>
        <v>0.8338420556079693</v>
      </c>
      <c r="N41" s="167">
        <f>SUM(N42:N43)</f>
        <v>4187</v>
      </c>
      <c r="O41" s="87" t="str">
        <f t="shared" si="0"/>
        <v>Zemkopības ministrija</v>
      </c>
      <c r="P41" s="87">
        <f t="shared" si="1"/>
        <v>15025</v>
      </c>
      <c r="Q41" s="87">
        <f>'[4]Marts'!K40</f>
        <v>10838</v>
      </c>
      <c r="R41" s="61">
        <f t="shared" si="4"/>
        <v>4187</v>
      </c>
    </row>
    <row r="42" spans="1:18" s="39" customFormat="1" ht="12.75">
      <c r="A42" s="115" t="s">
        <v>185</v>
      </c>
      <c r="B42" s="169">
        <v>66762744</v>
      </c>
      <c r="C42" s="169">
        <v>16439982</v>
      </c>
      <c r="D42" s="169">
        <f>4+4633914+1224554+87158+1961242+2156451+16802+13190+839+18553-9121+3534902+225+680660+11734</f>
        <v>14331107</v>
      </c>
      <c r="E42" s="56">
        <f t="shared" si="2"/>
        <v>0.21465724955822665</v>
      </c>
      <c r="F42" s="56">
        <f t="shared" si="3"/>
        <v>0.8717227914239809</v>
      </c>
      <c r="G42" s="169">
        <f>D42-'[4]februāris'!D41</f>
        <v>7344111</v>
      </c>
      <c r="H42" s="115" t="s">
        <v>185</v>
      </c>
      <c r="I42" s="169">
        <f aca="true" t="shared" si="15" ref="I42:K43">ROUND(B42/1000,0)</f>
        <v>66763</v>
      </c>
      <c r="J42" s="169">
        <f t="shared" si="15"/>
        <v>16440</v>
      </c>
      <c r="K42" s="169">
        <f t="shared" si="15"/>
        <v>14331</v>
      </c>
      <c r="L42" s="166">
        <f t="shared" si="5"/>
        <v>0.21465482377963843</v>
      </c>
      <c r="M42" s="166">
        <f t="shared" si="6"/>
        <v>0.8717153284671533</v>
      </c>
      <c r="N42" s="169">
        <f>K42-'[4]Marts'!K41</f>
        <v>3991</v>
      </c>
      <c r="O42" s="85" t="str">
        <f t="shared" si="0"/>
        <v>     Uzturēšanas izdevumi</v>
      </c>
      <c r="P42" s="85">
        <f t="shared" si="1"/>
        <v>14331</v>
      </c>
      <c r="Q42" s="85">
        <f>'[4]Marts'!K41</f>
        <v>10340</v>
      </c>
      <c r="R42" s="54">
        <f t="shared" si="4"/>
        <v>3991</v>
      </c>
    </row>
    <row r="43" spans="1:18" s="39" customFormat="1" ht="12" customHeight="1">
      <c r="A43" s="115" t="s">
        <v>186</v>
      </c>
      <c r="B43" s="169">
        <v>4719150</v>
      </c>
      <c r="C43" s="169">
        <v>1578965</v>
      </c>
      <c r="D43" s="169">
        <f>282147+102+15000+83510+304859+8594</f>
        <v>694212</v>
      </c>
      <c r="E43" s="56">
        <f t="shared" si="2"/>
        <v>0.14710530498076985</v>
      </c>
      <c r="F43" s="56">
        <f t="shared" si="3"/>
        <v>0.43966269043329015</v>
      </c>
      <c r="G43" s="169">
        <f>D43-'[4]februāris'!D42</f>
        <v>371199.34</v>
      </c>
      <c r="H43" s="115" t="s">
        <v>186</v>
      </c>
      <c r="I43" s="169">
        <f t="shared" si="15"/>
        <v>4719</v>
      </c>
      <c r="J43" s="169">
        <f t="shared" si="15"/>
        <v>1579</v>
      </c>
      <c r="K43" s="169">
        <f t="shared" si="15"/>
        <v>694</v>
      </c>
      <c r="L43" s="166">
        <f t="shared" si="5"/>
        <v>0.14706505615596524</v>
      </c>
      <c r="M43" s="166">
        <f t="shared" si="6"/>
        <v>0.4395186827105763</v>
      </c>
      <c r="N43" s="169">
        <f>K43-'[4]Marts'!K42</f>
        <v>196</v>
      </c>
      <c r="O43" s="85" t="str">
        <f t="shared" si="0"/>
        <v>     Izdevumi kapitālieguldījumiem</v>
      </c>
      <c r="P43" s="85">
        <f t="shared" si="1"/>
        <v>694</v>
      </c>
      <c r="Q43" s="85">
        <f>'[4]Marts'!K42</f>
        <v>498</v>
      </c>
      <c r="R43" s="54">
        <f t="shared" si="4"/>
        <v>196</v>
      </c>
    </row>
    <row r="44" spans="1:18" s="2" customFormat="1" ht="12.75" customHeight="1">
      <c r="A44" s="68" t="s">
        <v>198</v>
      </c>
      <c r="B44" s="167">
        <f>SUM(B45:B46)</f>
        <v>13889364</v>
      </c>
      <c r="C44" s="167">
        <f>SUM(C45:C46)</f>
        <v>2650548</v>
      </c>
      <c r="D44" s="167">
        <f>SUM(D45:D46)</f>
        <v>2345487</v>
      </c>
      <c r="E44" s="162">
        <f t="shared" si="2"/>
        <v>0.1688692873194194</v>
      </c>
      <c r="F44" s="162">
        <f t="shared" si="3"/>
        <v>0.8849064419886001</v>
      </c>
      <c r="G44" s="167">
        <f>SUM(G45:G46)</f>
        <v>1173633.3</v>
      </c>
      <c r="H44" s="68" t="s">
        <v>198</v>
      </c>
      <c r="I44" s="167">
        <f>SUM(I45:I46)</f>
        <v>13890</v>
      </c>
      <c r="J44" s="167">
        <f>SUM(J45:J46)</f>
        <v>2651</v>
      </c>
      <c r="K44" s="167">
        <f>SUM(K45:K46)</f>
        <v>2345</v>
      </c>
      <c r="L44" s="163">
        <f t="shared" si="5"/>
        <v>0.16882649388048956</v>
      </c>
      <c r="M44" s="163">
        <f t="shared" si="6"/>
        <v>0.8845718596755942</v>
      </c>
      <c r="N44" s="167">
        <f>SUM(N45:N46)</f>
        <v>621</v>
      </c>
      <c r="O44" s="87" t="str">
        <f t="shared" si="0"/>
        <v>Satiksmes ministrija</v>
      </c>
      <c r="P44" s="87">
        <f t="shared" si="1"/>
        <v>2345</v>
      </c>
      <c r="Q44" s="87">
        <f>'[4]Marts'!K43</f>
        <v>1724</v>
      </c>
      <c r="R44" s="61">
        <f t="shared" si="4"/>
        <v>621</v>
      </c>
    </row>
    <row r="45" spans="1:18" s="39" customFormat="1" ht="12.75">
      <c r="A45" s="115" t="s">
        <v>185</v>
      </c>
      <c r="B45" s="169">
        <v>6909764</v>
      </c>
      <c r="C45" s="169">
        <v>2284798</v>
      </c>
      <c r="D45" s="169">
        <f>140149+32019+24859+88904+6072+1522+763673+1066582+51629</f>
        <v>2175409</v>
      </c>
      <c r="E45" s="56">
        <f t="shared" si="2"/>
        <v>0.31483115776457776</v>
      </c>
      <c r="F45" s="56">
        <f t="shared" si="3"/>
        <v>0.9521231198556721</v>
      </c>
      <c r="G45" s="169">
        <f>D45-'[4]februāris'!D44</f>
        <v>1117740.48</v>
      </c>
      <c r="H45" s="115" t="s">
        <v>185</v>
      </c>
      <c r="I45" s="169">
        <f>ROUND(B45/1000,0)</f>
        <v>6910</v>
      </c>
      <c r="J45" s="169">
        <f>ROUND(C45/1000,0)</f>
        <v>2285</v>
      </c>
      <c r="K45" s="169">
        <f aca="true" t="shared" si="16" ref="I45:K46">ROUND(D45/1000,0)</f>
        <v>2175</v>
      </c>
      <c r="L45" s="166">
        <f t="shared" si="5"/>
        <v>0.3147612156295224</v>
      </c>
      <c r="M45" s="166">
        <f t="shared" si="6"/>
        <v>0.9518599562363238</v>
      </c>
      <c r="N45" s="169">
        <f>K45-'[4]Marts'!K44</f>
        <v>571</v>
      </c>
      <c r="O45" s="85" t="str">
        <f t="shared" si="0"/>
        <v>     Uzturēšanas izdevumi</v>
      </c>
      <c r="P45" s="85">
        <f t="shared" si="1"/>
        <v>2175</v>
      </c>
      <c r="Q45" s="85">
        <f>'[4]Marts'!K44</f>
        <v>1604</v>
      </c>
      <c r="R45" s="54">
        <f t="shared" si="4"/>
        <v>571</v>
      </c>
    </row>
    <row r="46" spans="1:18" s="39" customFormat="1" ht="12.75">
      <c r="A46" s="115" t="s">
        <v>186</v>
      </c>
      <c r="B46" s="169">
        <v>6979600</v>
      </c>
      <c r="C46" s="169">
        <v>365750</v>
      </c>
      <c r="D46" s="169">
        <f>4905+165173</f>
        <v>170078</v>
      </c>
      <c r="E46" s="56">
        <f t="shared" si="2"/>
        <v>0.024367872084360136</v>
      </c>
      <c r="F46" s="56">
        <f t="shared" si="3"/>
        <v>0.4650116199589884</v>
      </c>
      <c r="G46" s="169">
        <f>D46-'[4]februāris'!D45</f>
        <v>55892.82000000001</v>
      </c>
      <c r="H46" s="115" t="s">
        <v>186</v>
      </c>
      <c r="I46" s="169">
        <f t="shared" si="16"/>
        <v>6980</v>
      </c>
      <c r="J46" s="169">
        <f>ROUND(C46/1000,0)</f>
        <v>366</v>
      </c>
      <c r="K46" s="169">
        <f t="shared" si="16"/>
        <v>170</v>
      </c>
      <c r="L46" s="166">
        <f t="shared" si="5"/>
        <v>0.024355300859598854</v>
      </c>
      <c r="M46" s="166">
        <f t="shared" si="6"/>
        <v>0.4644808743169399</v>
      </c>
      <c r="N46" s="169">
        <f>K46-'[4]Marts'!K45</f>
        <v>50</v>
      </c>
      <c r="O46" s="85" t="str">
        <f t="shared" si="0"/>
        <v>     Izdevumi kapitālieguldījumiem</v>
      </c>
      <c r="P46" s="85">
        <f t="shared" si="1"/>
        <v>170</v>
      </c>
      <c r="Q46" s="85">
        <f>'[4]Marts'!K45</f>
        <v>120</v>
      </c>
      <c r="R46" s="54">
        <f t="shared" si="4"/>
        <v>50</v>
      </c>
    </row>
    <row r="47" spans="1:18" s="2" customFormat="1" ht="15" customHeight="1">
      <c r="A47" s="68" t="s">
        <v>199</v>
      </c>
      <c r="B47" s="167">
        <f>SUM(B48:B49)</f>
        <v>157533223</v>
      </c>
      <c r="C47" s="167">
        <f>SUM(C48:C49)</f>
        <v>52431925</v>
      </c>
      <c r="D47" s="167">
        <f>SUM(D48:D49)</f>
        <v>51625682</v>
      </c>
      <c r="E47" s="162">
        <f t="shared" si="2"/>
        <v>0.3277129802644868</v>
      </c>
      <c r="F47" s="162">
        <f t="shared" si="3"/>
        <v>0.9846230516998947</v>
      </c>
      <c r="G47" s="167">
        <f>SUM(G48:G49)</f>
        <v>27252186.38</v>
      </c>
      <c r="H47" s="68" t="s">
        <v>199</v>
      </c>
      <c r="I47" s="167">
        <f>SUM(I48:I49)</f>
        <v>157534</v>
      </c>
      <c r="J47" s="171">
        <f>SUM(J48:J49)</f>
        <v>52432</v>
      </c>
      <c r="K47" s="167">
        <f>SUM(K48:K49)</f>
        <v>51626</v>
      </c>
      <c r="L47" s="163">
        <f t="shared" si="5"/>
        <v>0.32771338250790305</v>
      </c>
      <c r="M47" s="163">
        <f t="shared" si="6"/>
        <v>0.9846277082697589</v>
      </c>
      <c r="N47" s="167">
        <f>SUM(N48:N49)</f>
        <v>14856</v>
      </c>
      <c r="O47" s="87" t="str">
        <f t="shared" si="0"/>
        <v>Labklājības ministrija</v>
      </c>
      <c r="P47" s="87">
        <f t="shared" si="1"/>
        <v>51626</v>
      </c>
      <c r="Q47" s="87">
        <f>'[4]Marts'!K46</f>
        <v>36770</v>
      </c>
      <c r="R47" s="61">
        <f t="shared" si="4"/>
        <v>14856</v>
      </c>
    </row>
    <row r="48" spans="1:18" s="39" customFormat="1" ht="12.75">
      <c r="A48" s="115" t="s">
        <v>185</v>
      </c>
      <c r="B48" s="169">
        <v>153188509</v>
      </c>
      <c r="C48" s="169">
        <v>51129476</v>
      </c>
      <c r="D48" s="169">
        <f>3726149+996247+66640+994636+2716223+12405+2724594+19312005+95000+19919173</f>
        <v>50563072</v>
      </c>
      <c r="E48" s="56">
        <f t="shared" si="2"/>
        <v>0.330070919353357</v>
      </c>
      <c r="F48" s="56">
        <f t="shared" si="3"/>
        <v>0.9889221630200161</v>
      </c>
      <c r="G48" s="169">
        <f>D48-'[4]februāris'!D47</f>
        <v>26394757.9</v>
      </c>
      <c r="H48" s="115" t="s">
        <v>185</v>
      </c>
      <c r="I48" s="169">
        <f aca="true" t="shared" si="17" ref="I48:K49">ROUND(B48/1000,0)</f>
        <v>153189</v>
      </c>
      <c r="J48" s="169">
        <f>ROUND(C48/1000,0)+1</f>
        <v>51130</v>
      </c>
      <c r="K48" s="169">
        <f t="shared" si="17"/>
        <v>50563</v>
      </c>
      <c r="L48" s="166">
        <f t="shared" si="5"/>
        <v>0.3300693914053881</v>
      </c>
      <c r="M48" s="166">
        <f t="shared" si="6"/>
        <v>0.9889106199882652</v>
      </c>
      <c r="N48" s="169">
        <f>K48-'[4]Marts'!K47</f>
        <v>14128</v>
      </c>
      <c r="O48" s="85" t="str">
        <f t="shared" si="0"/>
        <v>     Uzturēšanas izdevumi</v>
      </c>
      <c r="P48" s="85">
        <f t="shared" si="1"/>
        <v>50563</v>
      </c>
      <c r="Q48" s="85">
        <f>'[4]Marts'!K47</f>
        <v>36435</v>
      </c>
      <c r="R48" s="54">
        <f t="shared" si="4"/>
        <v>14128</v>
      </c>
    </row>
    <row r="49" spans="1:18" s="39" customFormat="1" ht="12.75">
      <c r="A49" s="115" t="s">
        <v>186</v>
      </c>
      <c r="B49" s="169">
        <v>4344714</v>
      </c>
      <c r="C49" s="169">
        <v>1302449</v>
      </c>
      <c r="D49" s="169">
        <f>185633+400+2000+110282+332695+431600</f>
        <v>1062610</v>
      </c>
      <c r="E49" s="56">
        <f t="shared" si="2"/>
        <v>0.2445753621527217</v>
      </c>
      <c r="F49" s="56">
        <f t="shared" si="3"/>
        <v>0.8158553617070611</v>
      </c>
      <c r="G49" s="169">
        <f>D49-'[4]februāris'!D48</f>
        <v>857428.48</v>
      </c>
      <c r="H49" s="115" t="s">
        <v>186</v>
      </c>
      <c r="I49" s="169">
        <f t="shared" si="17"/>
        <v>4345</v>
      </c>
      <c r="J49" s="169">
        <f>ROUND(C49/1000,0)</f>
        <v>1302</v>
      </c>
      <c r="K49" s="169">
        <f>ROUND(D49/1000,0)</f>
        <v>1063</v>
      </c>
      <c r="L49" s="166">
        <f t="shared" si="5"/>
        <v>0.24464902186421172</v>
      </c>
      <c r="M49" s="166">
        <f t="shared" si="6"/>
        <v>0.8164362519201229</v>
      </c>
      <c r="N49" s="169">
        <f>K49-'[4]Marts'!K48</f>
        <v>728</v>
      </c>
      <c r="O49" s="85" t="str">
        <f t="shared" si="0"/>
        <v>     Izdevumi kapitālieguldījumiem</v>
      </c>
      <c r="P49" s="85">
        <f t="shared" si="1"/>
        <v>1063</v>
      </c>
      <c r="Q49" s="85">
        <f>'[4]Marts'!K48</f>
        <v>335</v>
      </c>
      <c r="R49" s="54">
        <f t="shared" si="4"/>
        <v>728</v>
      </c>
    </row>
    <row r="50" spans="1:18" s="2" customFormat="1" ht="15.75" customHeight="1">
      <c r="A50" s="68" t="s">
        <v>200</v>
      </c>
      <c r="B50" s="167">
        <f>SUM(B51:B52)</f>
        <v>28718346</v>
      </c>
      <c r="C50" s="167">
        <f>SUM(C51:C52)</f>
        <v>9607420</v>
      </c>
      <c r="D50" s="167">
        <f>SUM(D51:D52)</f>
        <v>8855084</v>
      </c>
      <c r="E50" s="162">
        <f t="shared" si="2"/>
        <v>0.3083424094131326</v>
      </c>
      <c r="F50" s="162">
        <f t="shared" si="3"/>
        <v>0.9216921920765409</v>
      </c>
      <c r="G50" s="167">
        <f>SUM(G51:G52)</f>
        <v>4992040.15</v>
      </c>
      <c r="H50" s="68" t="s">
        <v>200</v>
      </c>
      <c r="I50" s="167">
        <f>SUM(I51:I52)</f>
        <v>28718</v>
      </c>
      <c r="J50" s="167">
        <f>SUM(J51:J52)</f>
        <v>9607</v>
      </c>
      <c r="K50" s="167">
        <f>SUM(K51:K52)</f>
        <v>8855</v>
      </c>
      <c r="L50" s="163">
        <f t="shared" si="5"/>
        <v>0.30834319938714394</v>
      </c>
      <c r="M50" s="163">
        <f t="shared" si="6"/>
        <v>0.9217237431039866</v>
      </c>
      <c r="N50" s="167">
        <f>SUM(N51:N52)</f>
        <v>2231</v>
      </c>
      <c r="O50" s="87" t="str">
        <f t="shared" si="0"/>
        <v>Tieslietu ministrija</v>
      </c>
      <c r="P50" s="87">
        <f t="shared" si="1"/>
        <v>8855</v>
      </c>
      <c r="Q50" s="87">
        <f>'[4]Marts'!K49</f>
        <v>6624</v>
      </c>
      <c r="R50" s="61">
        <f t="shared" si="4"/>
        <v>2231</v>
      </c>
    </row>
    <row r="51" spans="1:18" s="39" customFormat="1" ht="12.75">
      <c r="A51" s="115" t="s">
        <v>185</v>
      </c>
      <c r="B51" s="169">
        <v>25357301</v>
      </c>
      <c r="C51" s="169">
        <v>8498460</v>
      </c>
      <c r="D51" s="169">
        <f>3501800+906236+70081+1346498+2171317+6503+14832+84+10880</f>
        <v>8028231</v>
      </c>
      <c r="E51" s="56">
        <f t="shared" si="2"/>
        <v>0.3166043184170113</v>
      </c>
      <c r="F51" s="56">
        <f t="shared" si="3"/>
        <v>0.9446689164860457</v>
      </c>
      <c r="G51" s="169">
        <f>D51-'[4]februāris'!D50</f>
        <v>4459177.15</v>
      </c>
      <c r="H51" s="115" t="s">
        <v>185</v>
      </c>
      <c r="I51" s="169">
        <f aca="true" t="shared" si="18" ref="I51:K52">ROUND(B51/1000,0)</f>
        <v>25357</v>
      </c>
      <c r="J51" s="169">
        <f t="shared" si="18"/>
        <v>8498</v>
      </c>
      <c r="K51" s="169">
        <f>ROUND(D51/1000,0)</f>
        <v>8028</v>
      </c>
      <c r="L51" s="166">
        <f t="shared" si="5"/>
        <v>0.3165989667547423</v>
      </c>
      <c r="M51" s="166">
        <f t="shared" si="6"/>
        <v>0.9446928689103319</v>
      </c>
      <c r="N51" s="169">
        <f>K51-'[4]Marts'!K50</f>
        <v>1998</v>
      </c>
      <c r="O51" s="85" t="str">
        <f t="shared" si="0"/>
        <v>     Uzturēšanas izdevumi</v>
      </c>
      <c r="P51" s="85">
        <f t="shared" si="1"/>
        <v>8028</v>
      </c>
      <c r="Q51" s="85">
        <f>'[4]Marts'!K50</f>
        <v>6030</v>
      </c>
      <c r="R51" s="54">
        <f t="shared" si="4"/>
        <v>1998</v>
      </c>
    </row>
    <row r="52" spans="1:18" s="39" customFormat="1" ht="16.5" customHeight="1">
      <c r="A52" s="115" t="s">
        <v>186</v>
      </c>
      <c r="B52" s="169">
        <v>3361045</v>
      </c>
      <c r="C52" s="169">
        <v>1108960</v>
      </c>
      <c r="D52" s="169">
        <f>54548+585385+186920</f>
        <v>826853</v>
      </c>
      <c r="E52" s="56">
        <f t="shared" si="2"/>
        <v>0.246010690127624</v>
      </c>
      <c r="F52" s="56">
        <f t="shared" si="3"/>
        <v>0.7456112032895686</v>
      </c>
      <c r="G52" s="169">
        <f>D52-'[4]februāris'!D51</f>
        <v>532863</v>
      </c>
      <c r="H52" s="115" t="s">
        <v>186</v>
      </c>
      <c r="I52" s="169">
        <f t="shared" si="18"/>
        <v>3361</v>
      </c>
      <c r="J52" s="169">
        <f t="shared" si="18"/>
        <v>1109</v>
      </c>
      <c r="K52" s="169">
        <f t="shared" si="18"/>
        <v>827</v>
      </c>
      <c r="L52" s="166">
        <f t="shared" si="5"/>
        <v>0.24605772091639394</v>
      </c>
      <c r="M52" s="166">
        <f t="shared" si="6"/>
        <v>0.7457168620378719</v>
      </c>
      <c r="N52" s="169">
        <f>K52-'[4]Marts'!K51</f>
        <v>233</v>
      </c>
      <c r="O52" s="85" t="str">
        <f t="shared" si="0"/>
        <v>     Izdevumi kapitālieguldījumiem</v>
      </c>
      <c r="P52" s="85">
        <f t="shared" si="1"/>
        <v>827</v>
      </c>
      <c r="Q52" s="85">
        <f>'[4]Marts'!K51</f>
        <v>594</v>
      </c>
      <c r="R52" s="54">
        <f t="shared" si="4"/>
        <v>233</v>
      </c>
    </row>
    <row r="53" spans="1:18" ht="69.75" customHeight="1" hidden="1">
      <c r="A53" s="85" t="s">
        <v>2</v>
      </c>
      <c r="B53" s="85" t="s">
        <v>49</v>
      </c>
      <c r="C53" s="85" t="s">
        <v>179</v>
      </c>
      <c r="D53" s="85" t="s">
        <v>50</v>
      </c>
      <c r="E53" s="85" t="s">
        <v>180</v>
      </c>
      <c r="F53" s="85" t="s">
        <v>181</v>
      </c>
      <c r="G53" s="172" t="e">
        <f>D53-'[4]Janvāris'!D52</f>
        <v>#VALUE!</v>
      </c>
      <c r="H53" s="85" t="s">
        <v>2</v>
      </c>
      <c r="I53" s="85" t="s">
        <v>49</v>
      </c>
      <c r="J53" s="85" t="s">
        <v>179</v>
      </c>
      <c r="K53" s="85" t="s">
        <v>50</v>
      </c>
      <c r="L53" s="85" t="s">
        <v>180</v>
      </c>
      <c r="M53" s="85" t="s">
        <v>181</v>
      </c>
      <c r="N53" s="85" t="s">
        <v>50</v>
      </c>
      <c r="O53" s="85" t="str">
        <f t="shared" si="0"/>
        <v>Rādītāji</v>
      </c>
      <c r="P53" s="85" t="str">
        <f t="shared" si="1"/>
        <v>Izpilde no gada sākuma</v>
      </c>
      <c r="Q53" s="85" t="str">
        <f>'[4]Marts'!K52</f>
        <v>Izpilde no gada sākuma</v>
      </c>
      <c r="R53" s="54" t="e">
        <f t="shared" si="4"/>
        <v>#VALUE!</v>
      </c>
    </row>
    <row r="54" spans="1:18" ht="12.75" hidden="1">
      <c r="A54" s="85">
        <v>1</v>
      </c>
      <c r="B54" s="85">
        <v>2</v>
      </c>
      <c r="C54" s="85">
        <v>3</v>
      </c>
      <c r="D54" s="85">
        <v>4</v>
      </c>
      <c r="E54" s="85">
        <v>5</v>
      </c>
      <c r="F54" s="85">
        <v>6</v>
      </c>
      <c r="G54" s="172">
        <f>D54-'[4]Janvāris'!D53</f>
        <v>0</v>
      </c>
      <c r="H54" s="85">
        <v>1</v>
      </c>
      <c r="I54" s="85">
        <v>2</v>
      </c>
      <c r="J54" s="85">
        <v>3</v>
      </c>
      <c r="K54" s="85">
        <v>4</v>
      </c>
      <c r="L54" s="85">
        <v>5</v>
      </c>
      <c r="M54" s="85">
        <v>6</v>
      </c>
      <c r="N54" s="85">
        <v>4</v>
      </c>
      <c r="O54" s="85">
        <f t="shared" si="0"/>
        <v>1</v>
      </c>
      <c r="P54" s="85">
        <f t="shared" si="1"/>
        <v>4</v>
      </c>
      <c r="Q54" s="85">
        <f>'[4]Marts'!K53</f>
        <v>4</v>
      </c>
      <c r="R54" s="54">
        <f t="shared" si="4"/>
        <v>0</v>
      </c>
    </row>
    <row r="55" spans="1:18" s="2" customFormat="1" ht="36">
      <c r="A55" s="53" t="s">
        <v>201</v>
      </c>
      <c r="B55" s="167">
        <f>SUM(B56:B57)</f>
        <v>8868401</v>
      </c>
      <c r="C55" s="167">
        <f>SUM(C56:C57)</f>
        <v>2937583</v>
      </c>
      <c r="D55" s="167">
        <f>SUM(D56:D57)</f>
        <v>2461232</v>
      </c>
      <c r="E55" s="162">
        <f t="shared" si="2"/>
        <v>0.2775282714437473</v>
      </c>
      <c r="F55" s="162">
        <f t="shared" si="3"/>
        <v>0.8378425392576142</v>
      </c>
      <c r="G55" s="167">
        <f>SUM(G56:G57)</f>
        <v>1366754.1099999999</v>
      </c>
      <c r="H55" s="53" t="s">
        <v>201</v>
      </c>
      <c r="I55" s="167">
        <f>SUM(I56:I57)</f>
        <v>8868</v>
      </c>
      <c r="J55" s="171">
        <f>SUM(J56:J57)</f>
        <v>2937</v>
      </c>
      <c r="K55" s="167">
        <f>SUM(K56:K57)</f>
        <v>2462</v>
      </c>
      <c r="L55" s="163">
        <f aca="true" t="shared" si="19" ref="L55:L97">IF(ISERROR(ROUND(K55,0)/ROUND(I55,0))," ",(ROUND(K55,)/ROUND(I55,)))</f>
        <v>0.27762742444745153</v>
      </c>
      <c r="M55" s="163">
        <f aca="true" t="shared" si="20" ref="M55:M97">IF(ISERROR(ROUND(K55,0)/ROUND(J55,0))," ",(ROUND(K55,)/ROUND(J55,)))</f>
        <v>0.8382703438883214</v>
      </c>
      <c r="N55" s="167">
        <f>SUM(N56:N57)</f>
        <v>701</v>
      </c>
      <c r="O55" s="87" t="str">
        <f t="shared" si="0"/>
        <v>Vides aizsardzības un reģionālās attīstības ministrija</v>
      </c>
      <c r="P55" s="87">
        <f t="shared" si="1"/>
        <v>2462</v>
      </c>
      <c r="Q55" s="87">
        <f>'[4]Marts'!K54</f>
        <v>1761</v>
      </c>
      <c r="R55" s="61">
        <f t="shared" si="4"/>
        <v>701</v>
      </c>
    </row>
    <row r="56" spans="1:18" s="39" customFormat="1" ht="12.75">
      <c r="A56" s="115" t="s">
        <v>185</v>
      </c>
      <c r="B56" s="169">
        <v>7581021</v>
      </c>
      <c r="C56" s="169">
        <v>2481154</v>
      </c>
      <c r="D56" s="169">
        <f>787915+200899+63983+667405+211284+1167+179792+1108</f>
        <v>2113553</v>
      </c>
      <c r="E56" s="50">
        <f t="shared" si="2"/>
        <v>0.27879529683402804</v>
      </c>
      <c r="F56" s="50">
        <f t="shared" si="3"/>
        <v>0.8518427312452189</v>
      </c>
      <c r="G56" s="169">
        <f>D56-'[4]februāris'!D55</f>
        <v>1182022.1099999999</v>
      </c>
      <c r="H56" s="115" t="s">
        <v>185</v>
      </c>
      <c r="I56" s="169">
        <f aca="true" t="shared" si="21" ref="I56:K59">ROUND(B56/1000,0)</f>
        <v>7581</v>
      </c>
      <c r="J56" s="169">
        <f>ROUND(C56/1000,0)</f>
        <v>2481</v>
      </c>
      <c r="K56" s="169">
        <f>ROUND(D56/1000,0)</f>
        <v>2114</v>
      </c>
      <c r="L56" s="166">
        <f t="shared" si="19"/>
        <v>0.2788550323176362</v>
      </c>
      <c r="M56" s="166">
        <f t="shared" si="20"/>
        <v>0.8520757758968158</v>
      </c>
      <c r="N56" s="169">
        <f>K56-'[4]Marts'!K55</f>
        <v>623</v>
      </c>
      <c r="O56" s="85" t="str">
        <f t="shared" si="0"/>
        <v>     Uzturēšanas izdevumi</v>
      </c>
      <c r="P56" s="85">
        <f t="shared" si="1"/>
        <v>2114</v>
      </c>
      <c r="Q56" s="85">
        <f>'[4]Marts'!K55</f>
        <v>1491</v>
      </c>
      <c r="R56" s="54">
        <f t="shared" si="4"/>
        <v>623</v>
      </c>
    </row>
    <row r="57" spans="1:18" s="39" customFormat="1" ht="12.75" customHeight="1">
      <c r="A57" s="173" t="s">
        <v>186</v>
      </c>
      <c r="B57" s="169">
        <v>1287380</v>
      </c>
      <c r="C57" s="169">
        <v>456429</v>
      </c>
      <c r="D57" s="169">
        <f>18221+329458</f>
        <v>347679</v>
      </c>
      <c r="E57" s="50">
        <f t="shared" si="2"/>
        <v>0.27006711305131353</v>
      </c>
      <c r="F57" s="50">
        <f t="shared" si="3"/>
        <v>0.7617373129227109</v>
      </c>
      <c r="G57" s="169">
        <f>D57-'[4]februāris'!D56</f>
        <v>184732</v>
      </c>
      <c r="H57" s="173" t="s">
        <v>186</v>
      </c>
      <c r="I57" s="169">
        <f t="shared" si="21"/>
        <v>1287</v>
      </c>
      <c r="J57" s="169">
        <f t="shared" si="21"/>
        <v>456</v>
      </c>
      <c r="K57" s="169">
        <f t="shared" si="21"/>
        <v>348</v>
      </c>
      <c r="L57" s="166">
        <f t="shared" si="19"/>
        <v>0.2703962703962704</v>
      </c>
      <c r="M57" s="166">
        <f t="shared" si="20"/>
        <v>0.7631578947368421</v>
      </c>
      <c r="N57" s="169">
        <f>K57-'[4]Marts'!K56</f>
        <v>78</v>
      </c>
      <c r="O57" s="85" t="str">
        <f t="shared" si="0"/>
        <v>     Izdevumi kapitālieguldījumiem</v>
      </c>
      <c r="P57" s="85">
        <f t="shared" si="1"/>
        <v>348</v>
      </c>
      <c r="Q57" s="85">
        <f>'[4]Marts'!K56</f>
        <v>270</v>
      </c>
      <c r="R57" s="54">
        <f t="shared" si="4"/>
        <v>78</v>
      </c>
    </row>
    <row r="58" spans="1:18" s="2" customFormat="1" ht="13.5" customHeight="1">
      <c r="A58" s="68" t="s">
        <v>202</v>
      </c>
      <c r="B58" s="167">
        <f>B59+B60</f>
        <v>16429548</v>
      </c>
      <c r="C58" s="167">
        <f>C59+C60</f>
        <v>5784290</v>
      </c>
      <c r="D58" s="167">
        <f>D59+D60</f>
        <v>5484773</v>
      </c>
      <c r="E58" s="162">
        <f t="shared" si="2"/>
        <v>0.33383590345881703</v>
      </c>
      <c r="F58" s="162">
        <f t="shared" si="3"/>
        <v>0.9482188825249079</v>
      </c>
      <c r="G58" s="167">
        <f>SUM(G59:G60)</f>
        <v>2707320.37</v>
      </c>
      <c r="H58" s="68" t="s">
        <v>202</v>
      </c>
      <c r="I58" s="174">
        <f t="shared" si="21"/>
        <v>16430</v>
      </c>
      <c r="J58" s="167">
        <f>SUM(J59:J60)</f>
        <v>5784</v>
      </c>
      <c r="K58" s="167">
        <f>SUM(K59:K60)</f>
        <v>5485</v>
      </c>
      <c r="L58" s="163">
        <f t="shared" si="19"/>
        <v>0.3338405356055995</v>
      </c>
      <c r="M58" s="163">
        <f t="shared" si="20"/>
        <v>0.9483056708160442</v>
      </c>
      <c r="N58" s="167">
        <f>SUM(N59:N60)</f>
        <v>1381</v>
      </c>
      <c r="O58" s="87" t="str">
        <f t="shared" si="0"/>
        <v>Kultūras ministrija</v>
      </c>
      <c r="P58" s="87">
        <f t="shared" si="1"/>
        <v>5485</v>
      </c>
      <c r="Q58" s="87">
        <f>'[4]Marts'!K57</f>
        <v>4104</v>
      </c>
      <c r="R58" s="61">
        <f t="shared" si="4"/>
        <v>1381</v>
      </c>
    </row>
    <row r="59" spans="1:18" s="39" customFormat="1" ht="13.5" customHeight="1">
      <c r="A59" s="115" t="s">
        <v>185</v>
      </c>
      <c r="B59" s="169">
        <v>14801982</v>
      </c>
      <c r="C59" s="169">
        <v>5276924</v>
      </c>
      <c r="D59" s="169">
        <f>100+1601383+863445+10692+1079613+491432+50312+1008+874624+117862+620</f>
        <v>5091091</v>
      </c>
      <c r="E59" s="50">
        <f t="shared" si="2"/>
        <v>0.34394657418175484</v>
      </c>
      <c r="F59" s="50"/>
      <c r="G59" s="169">
        <f>D59-'[4]februāris'!D58</f>
        <v>2439268</v>
      </c>
      <c r="H59" s="115" t="s">
        <v>185</v>
      </c>
      <c r="I59" s="169">
        <f t="shared" si="21"/>
        <v>14802</v>
      </c>
      <c r="J59" s="169">
        <f t="shared" si="21"/>
        <v>5277</v>
      </c>
      <c r="K59" s="169">
        <f>ROUND(D59/1000,0)</f>
        <v>5091</v>
      </c>
      <c r="L59" s="175">
        <f t="shared" si="19"/>
        <v>0.3439400081070126</v>
      </c>
      <c r="M59" s="175"/>
      <c r="N59" s="169">
        <f>K59-'[4]Marts'!K58</f>
        <v>1219</v>
      </c>
      <c r="O59" s="85" t="str">
        <f t="shared" si="0"/>
        <v>     Uzturēšanas izdevumi</v>
      </c>
      <c r="P59" s="85">
        <f t="shared" si="1"/>
        <v>5091</v>
      </c>
      <c r="Q59" s="85">
        <f>'[4]Marts'!K58</f>
        <v>3872</v>
      </c>
      <c r="R59" s="54">
        <f t="shared" si="4"/>
        <v>1219</v>
      </c>
    </row>
    <row r="60" spans="1:18" s="39" customFormat="1" ht="12.75" customHeight="1">
      <c r="A60" s="115" t="s">
        <v>186</v>
      </c>
      <c r="B60" s="169">
        <v>1627566</v>
      </c>
      <c r="C60" s="169">
        <v>507366</v>
      </c>
      <c r="D60" s="169">
        <f>55522+44371+293789</f>
        <v>393682</v>
      </c>
      <c r="E60" s="56">
        <f t="shared" si="2"/>
        <v>0.2418838928805345</v>
      </c>
      <c r="F60" s="56">
        <f t="shared" si="3"/>
        <v>0.7759329556966765</v>
      </c>
      <c r="G60" s="169">
        <f>D60-'[4]februāris'!D59</f>
        <v>268052.37</v>
      </c>
      <c r="H60" s="115" t="s">
        <v>186</v>
      </c>
      <c r="I60" s="169">
        <f>ROUND(B60/1000,0)</f>
        <v>1628</v>
      </c>
      <c r="J60" s="169">
        <f>ROUND(C60/1000,0)</f>
        <v>507</v>
      </c>
      <c r="K60" s="169">
        <f>ROUND(D60/1000,0)</f>
        <v>394</v>
      </c>
      <c r="L60" s="166">
        <f t="shared" si="19"/>
        <v>0.24201474201474202</v>
      </c>
      <c r="M60" s="166">
        <f t="shared" si="20"/>
        <v>0.777120315581854</v>
      </c>
      <c r="N60" s="169">
        <f>K60-'[4]Marts'!K59</f>
        <v>162</v>
      </c>
      <c r="O60" s="85" t="str">
        <f t="shared" si="0"/>
        <v>     Izdevumi kapitālieguldījumiem</v>
      </c>
      <c r="P60" s="85">
        <f t="shared" si="1"/>
        <v>394</v>
      </c>
      <c r="Q60" s="85">
        <f>'[4]Marts'!K59</f>
        <v>232</v>
      </c>
      <c r="R60" s="54">
        <f t="shared" si="4"/>
        <v>162</v>
      </c>
    </row>
    <row r="61" spans="1:18" s="2" customFormat="1" ht="12">
      <c r="A61" s="68" t="s">
        <v>203</v>
      </c>
      <c r="B61" s="167">
        <f>SUM(B62:B63)</f>
        <v>14846381</v>
      </c>
      <c r="C61" s="167">
        <f>SUM(C62:C63)</f>
        <v>4846708</v>
      </c>
      <c r="D61" s="167">
        <f>SUM(D62:D63)</f>
        <v>4039732</v>
      </c>
      <c r="E61" s="162">
        <f t="shared" si="2"/>
        <v>0.27210213721444976</v>
      </c>
      <c r="F61" s="162">
        <f t="shared" si="3"/>
        <v>0.8335001819791908</v>
      </c>
      <c r="G61" s="167">
        <f>SUM(G62:G63)</f>
        <v>2263027.4</v>
      </c>
      <c r="H61" s="68" t="s">
        <v>203</v>
      </c>
      <c r="I61" s="167">
        <f>SUM(I62:I63)</f>
        <v>14847</v>
      </c>
      <c r="J61" s="167">
        <f>SUM(J62:J63)</f>
        <v>4846</v>
      </c>
      <c r="K61" s="167">
        <f>SUM(K62:K63)</f>
        <v>4040</v>
      </c>
      <c r="L61" s="163">
        <f t="shared" si="19"/>
        <v>0.272108843537415</v>
      </c>
      <c r="M61" s="163">
        <f t="shared" si="20"/>
        <v>0.8336772595955427</v>
      </c>
      <c r="N61" s="167">
        <f>SUM(N62:N63)</f>
        <v>1118</v>
      </c>
      <c r="O61" s="87" t="str">
        <f t="shared" si="0"/>
        <v>Valsts zemes dienests</v>
      </c>
      <c r="P61" s="87">
        <f t="shared" si="1"/>
        <v>4040</v>
      </c>
      <c r="Q61" s="87">
        <f>'[4]Marts'!K60</f>
        <v>2922</v>
      </c>
      <c r="R61" s="61">
        <f t="shared" si="4"/>
        <v>1118</v>
      </c>
    </row>
    <row r="62" spans="1:18" s="39" customFormat="1" ht="12.75">
      <c r="A62" s="115" t="s">
        <v>185</v>
      </c>
      <c r="B62" s="169">
        <v>13564881</v>
      </c>
      <c r="C62" s="169">
        <v>4367492</v>
      </c>
      <c r="D62" s="169">
        <f>33+2145512+608400+29001+565192+350507+8099+32584-138+1985</f>
        <v>3741175</v>
      </c>
      <c r="E62" s="56">
        <f t="shared" si="2"/>
        <v>0.2757985860694244</v>
      </c>
      <c r="F62" s="56">
        <f t="shared" si="3"/>
        <v>0.8565957304558314</v>
      </c>
      <c r="G62" s="169">
        <f>D62-'[4]februāris'!D61</f>
        <v>2068037.04</v>
      </c>
      <c r="H62" s="115" t="s">
        <v>185</v>
      </c>
      <c r="I62" s="169">
        <f aca="true" t="shared" si="22" ref="I62:K63">ROUND(B62/1000,0)</f>
        <v>13565</v>
      </c>
      <c r="J62" s="169">
        <f t="shared" si="22"/>
        <v>4367</v>
      </c>
      <c r="K62" s="169">
        <f t="shared" si="22"/>
        <v>3741</v>
      </c>
      <c r="L62" s="166">
        <f t="shared" si="19"/>
        <v>0.27578326575746404</v>
      </c>
      <c r="M62" s="166">
        <f t="shared" si="20"/>
        <v>0.8566521639569499</v>
      </c>
      <c r="N62" s="169">
        <f>K62-'[4]Marts'!K61</f>
        <v>995</v>
      </c>
      <c r="O62" s="85" t="str">
        <f t="shared" si="0"/>
        <v>     Uzturēšanas izdevumi</v>
      </c>
      <c r="P62" s="85">
        <f t="shared" si="1"/>
        <v>3741</v>
      </c>
      <c r="Q62" s="85">
        <f>'[4]Marts'!K61</f>
        <v>2746</v>
      </c>
      <c r="R62" s="54">
        <f t="shared" si="4"/>
        <v>995</v>
      </c>
    </row>
    <row r="63" spans="1:18" s="39" customFormat="1" ht="12.75">
      <c r="A63" s="115" t="s">
        <v>186</v>
      </c>
      <c r="B63" s="169">
        <v>1281500</v>
      </c>
      <c r="C63" s="169">
        <v>479216</v>
      </c>
      <c r="D63" s="169">
        <f>89788+1519+207250</f>
        <v>298557</v>
      </c>
      <c r="E63" s="56">
        <f t="shared" si="2"/>
        <v>0.23297463909481078</v>
      </c>
      <c r="F63" s="56">
        <f t="shared" si="3"/>
        <v>0.6230113351807953</v>
      </c>
      <c r="G63" s="169">
        <f>D63-'[4]februāris'!D62</f>
        <v>194990.36</v>
      </c>
      <c r="H63" s="115" t="s">
        <v>186</v>
      </c>
      <c r="I63" s="169">
        <f t="shared" si="22"/>
        <v>1282</v>
      </c>
      <c r="J63" s="169">
        <f t="shared" si="22"/>
        <v>479</v>
      </c>
      <c r="K63" s="169">
        <f t="shared" si="22"/>
        <v>299</v>
      </c>
      <c r="L63" s="166">
        <f t="shared" si="19"/>
        <v>0.23322932917316694</v>
      </c>
      <c r="M63" s="166">
        <f t="shared" si="20"/>
        <v>0.6242171189979123</v>
      </c>
      <c r="N63" s="169">
        <f>K63-'[4]Marts'!K62</f>
        <v>123</v>
      </c>
      <c r="O63" s="85" t="str">
        <f t="shared" si="0"/>
        <v>     Izdevumi kapitālieguldījumiem</v>
      </c>
      <c r="P63" s="85">
        <f t="shared" si="1"/>
        <v>299</v>
      </c>
      <c r="Q63" s="85">
        <f>'[4]Marts'!K62</f>
        <v>176</v>
      </c>
      <c r="R63" s="54">
        <f t="shared" si="4"/>
        <v>123</v>
      </c>
    </row>
    <row r="64" spans="1:18" s="2" customFormat="1" ht="12">
      <c r="A64" s="68" t="s">
        <v>204</v>
      </c>
      <c r="B64" s="167">
        <f>SUM(B65:B66)</f>
        <v>1165852</v>
      </c>
      <c r="C64" s="167">
        <f>SUM(C65:C66)</f>
        <v>358900</v>
      </c>
      <c r="D64" s="167">
        <f>SUM(D65:D66)</f>
        <v>338635</v>
      </c>
      <c r="E64" s="162">
        <f t="shared" si="2"/>
        <v>0.2904613964722795</v>
      </c>
      <c r="F64" s="162">
        <f t="shared" si="3"/>
        <v>0.9435358038450822</v>
      </c>
      <c r="G64" s="167">
        <f>SUM(G65:G66)</f>
        <v>184200.25</v>
      </c>
      <c r="H64" s="68" t="s">
        <v>204</v>
      </c>
      <c r="I64" s="167">
        <f>SUM(I65:I66)</f>
        <v>1167</v>
      </c>
      <c r="J64" s="167">
        <f>SUM(J65:J66)</f>
        <v>359</v>
      </c>
      <c r="K64" s="167">
        <f>SUM(K65:K66)</f>
        <v>339</v>
      </c>
      <c r="L64" s="163">
        <f t="shared" si="19"/>
        <v>0.29048843187660667</v>
      </c>
      <c r="M64" s="163">
        <f t="shared" si="20"/>
        <v>0.9442896935933147</v>
      </c>
      <c r="N64" s="167">
        <f>SUM(N65:N66)</f>
        <v>105</v>
      </c>
      <c r="O64" s="87" t="str">
        <f t="shared" si="0"/>
        <v>Valsts kontrole</v>
      </c>
      <c r="P64" s="87">
        <f t="shared" si="1"/>
        <v>339</v>
      </c>
      <c r="Q64" s="87">
        <f>'[4]Marts'!K63</f>
        <v>234</v>
      </c>
      <c r="R64" s="61">
        <f t="shared" si="4"/>
        <v>105</v>
      </c>
    </row>
    <row r="65" spans="1:18" s="39" customFormat="1" ht="12.75">
      <c r="A65" s="115" t="s">
        <v>185</v>
      </c>
      <c r="B65" s="169">
        <v>1150312</v>
      </c>
      <c r="C65" s="169">
        <v>348700</v>
      </c>
      <c r="D65" s="169">
        <f>219575+57088+9583+38430+10631+978+358</f>
        <v>336643</v>
      </c>
      <c r="E65" s="56">
        <f t="shared" si="2"/>
        <v>0.29265364527189147</v>
      </c>
      <c r="F65" s="56">
        <f t="shared" si="3"/>
        <v>0.9654229997132205</v>
      </c>
      <c r="G65" s="169">
        <f>D65-'[4]februāris'!D64</f>
        <v>184200.09</v>
      </c>
      <c r="H65" s="115" t="s">
        <v>185</v>
      </c>
      <c r="I65" s="169">
        <f>ROUND(B65/1000,0)+1</f>
        <v>1151</v>
      </c>
      <c r="J65" s="169">
        <f>ROUND(C65/1000,0)</f>
        <v>349</v>
      </c>
      <c r="K65" s="169">
        <f aca="true" t="shared" si="23" ref="I65:K66">ROUND(D65/1000,0)</f>
        <v>337</v>
      </c>
      <c r="L65" s="166">
        <f t="shared" si="19"/>
        <v>0.29278887923544744</v>
      </c>
      <c r="M65" s="166">
        <f t="shared" si="20"/>
        <v>0.9656160458452722</v>
      </c>
      <c r="N65" s="169">
        <f>K65-'[4]Marts'!K64</f>
        <v>105</v>
      </c>
      <c r="O65" s="85" t="str">
        <f t="shared" si="0"/>
        <v>     Uzturēšanas izdevumi</v>
      </c>
      <c r="P65" s="85">
        <f t="shared" si="1"/>
        <v>337</v>
      </c>
      <c r="Q65" s="85">
        <f>'[4]Marts'!K64</f>
        <v>232</v>
      </c>
      <c r="R65" s="54">
        <f t="shared" si="4"/>
        <v>105</v>
      </c>
    </row>
    <row r="66" spans="1:18" s="39" customFormat="1" ht="12.75">
      <c r="A66" s="115" t="s">
        <v>186</v>
      </c>
      <c r="B66" s="169">
        <v>15540</v>
      </c>
      <c r="C66" s="169">
        <v>10200</v>
      </c>
      <c r="D66" s="169">
        <f>1992</f>
        <v>1992</v>
      </c>
      <c r="E66" s="56">
        <f t="shared" si="2"/>
        <v>0.12818532818532818</v>
      </c>
      <c r="F66" s="56">
        <f t="shared" si="3"/>
        <v>0.1952941176470588</v>
      </c>
      <c r="G66" s="169">
        <f>D66-'[4]februāris'!D65</f>
        <v>0.16000000000008185</v>
      </c>
      <c r="H66" s="115" t="s">
        <v>186</v>
      </c>
      <c r="I66" s="169">
        <f t="shared" si="23"/>
        <v>16</v>
      </c>
      <c r="J66" s="169">
        <f t="shared" si="23"/>
        <v>10</v>
      </c>
      <c r="K66" s="169">
        <f t="shared" si="23"/>
        <v>2</v>
      </c>
      <c r="L66" s="166">
        <f t="shared" si="19"/>
        <v>0.125</v>
      </c>
      <c r="M66" s="166">
        <f t="shared" si="20"/>
        <v>0.2</v>
      </c>
      <c r="N66" s="169">
        <f>K66-'[4]Marts'!K65</f>
        <v>0</v>
      </c>
      <c r="O66" s="85" t="str">
        <f t="shared" si="0"/>
        <v>     Izdevumi kapitālieguldījumiem</v>
      </c>
      <c r="P66" s="85">
        <f t="shared" si="1"/>
        <v>2</v>
      </c>
      <c r="Q66" s="85">
        <f>'[4]Marts'!K65</f>
        <v>2</v>
      </c>
      <c r="R66" s="54">
        <f t="shared" si="4"/>
        <v>0</v>
      </c>
    </row>
    <row r="67" spans="1:18" s="2" customFormat="1" ht="12">
      <c r="A67" s="68" t="s">
        <v>205</v>
      </c>
      <c r="B67" s="167">
        <f>B68</f>
        <v>743059</v>
      </c>
      <c r="C67" s="167">
        <f>SUM(C68:C68)</f>
        <v>228100</v>
      </c>
      <c r="D67" s="167">
        <f>SUM(D68:D68)</f>
        <v>224297</v>
      </c>
      <c r="E67" s="162">
        <f t="shared" si="2"/>
        <v>0.301856245600955</v>
      </c>
      <c r="F67" s="162">
        <f t="shared" si="3"/>
        <v>0.9833274879438842</v>
      </c>
      <c r="G67" s="167">
        <f>D67-'[4]Janvāris'!D66</f>
        <v>171719.77000000002</v>
      </c>
      <c r="H67" s="68" t="s">
        <v>205</v>
      </c>
      <c r="I67" s="167">
        <f>I68</f>
        <v>743</v>
      </c>
      <c r="J67" s="167">
        <f>SUM(J68:J68)</f>
        <v>228</v>
      </c>
      <c r="K67" s="167">
        <f>SUM(K68:K68)</f>
        <v>224</v>
      </c>
      <c r="L67" s="163">
        <f t="shared" si="19"/>
        <v>0.30148048452220727</v>
      </c>
      <c r="M67" s="163">
        <f t="shared" si="20"/>
        <v>0.9824561403508771</v>
      </c>
      <c r="N67" s="167">
        <f>SUM(N68:N68)</f>
        <v>58</v>
      </c>
      <c r="O67" s="87" t="str">
        <f t="shared" si="0"/>
        <v>Augstākā tiesa</v>
      </c>
      <c r="P67" s="87">
        <f t="shared" si="1"/>
        <v>224</v>
      </c>
      <c r="Q67" s="87">
        <f>'[4]Marts'!K66</f>
        <v>166</v>
      </c>
      <c r="R67" s="61">
        <f t="shared" si="4"/>
        <v>58</v>
      </c>
    </row>
    <row r="68" spans="1:18" s="39" customFormat="1" ht="12.75">
      <c r="A68" s="115" t="s">
        <v>185</v>
      </c>
      <c r="B68" s="169">
        <v>743059</v>
      </c>
      <c r="C68" s="169">
        <v>228100</v>
      </c>
      <c r="D68" s="169">
        <f>163498+29431+225+24337+6780+26</f>
        <v>224297</v>
      </c>
      <c r="E68" s="56">
        <f t="shared" si="2"/>
        <v>0.301856245600955</v>
      </c>
      <c r="F68" s="56">
        <f t="shared" si="3"/>
        <v>0.9833274879438842</v>
      </c>
      <c r="G68" s="169">
        <f>D68-'[4]februāris'!D67</f>
        <v>116608.94</v>
      </c>
      <c r="H68" s="115" t="s">
        <v>185</v>
      </c>
      <c r="I68" s="169">
        <f>ROUND(B68/1000,0)</f>
        <v>743</v>
      </c>
      <c r="J68" s="169">
        <f>ROUND(C68/1000,0)</f>
        <v>228</v>
      </c>
      <c r="K68" s="169">
        <f>ROUND(D68/1000,0)</f>
        <v>224</v>
      </c>
      <c r="L68" s="166">
        <f t="shared" si="19"/>
        <v>0.30148048452220727</v>
      </c>
      <c r="M68" s="166">
        <f t="shared" si="20"/>
        <v>0.9824561403508771</v>
      </c>
      <c r="N68" s="169">
        <f>K68-'[4]Marts'!K67</f>
        <v>58</v>
      </c>
      <c r="O68" s="85" t="str">
        <f t="shared" si="0"/>
        <v>     Uzturēšanas izdevumi</v>
      </c>
      <c r="P68" s="85">
        <f t="shared" si="1"/>
        <v>224</v>
      </c>
      <c r="Q68" s="85">
        <f>'[4]Marts'!K67</f>
        <v>166</v>
      </c>
      <c r="R68" s="54">
        <f t="shared" si="4"/>
        <v>58</v>
      </c>
    </row>
    <row r="69" spans="1:18" s="2" customFormat="1" ht="12">
      <c r="A69" s="68" t="s">
        <v>206</v>
      </c>
      <c r="B69" s="167">
        <f>SUM(B70:B71)</f>
        <v>337498</v>
      </c>
      <c r="C69" s="167">
        <f>SUM(C70:C71)</f>
        <v>97400</v>
      </c>
      <c r="D69" s="167">
        <f>SUM(D70:D71)</f>
        <v>90986</v>
      </c>
      <c r="E69" s="162">
        <f t="shared" si="2"/>
        <v>0.26958974571701166</v>
      </c>
      <c r="F69" s="162">
        <f t="shared" si="3"/>
        <v>0.9341478439425052</v>
      </c>
      <c r="G69" s="167">
        <f>D69-'[4]februāris'!D68</f>
        <v>50684.869999999995</v>
      </c>
      <c r="H69" s="68" t="s">
        <v>206</v>
      </c>
      <c r="I69" s="167">
        <f>SUM(I70:I71)</f>
        <v>338</v>
      </c>
      <c r="J69" s="167">
        <f>SUM(J70:J71)</f>
        <v>97</v>
      </c>
      <c r="K69" s="167">
        <f>SUM(K70:K71)</f>
        <v>91</v>
      </c>
      <c r="L69" s="163">
        <f t="shared" si="19"/>
        <v>0.2692307692307692</v>
      </c>
      <c r="M69" s="163">
        <f t="shared" si="20"/>
        <v>0.9381443298969072</v>
      </c>
      <c r="N69" s="167">
        <f>SUM(N70:N71)</f>
        <v>20</v>
      </c>
      <c r="O69" s="87" t="str">
        <f t="shared" si="0"/>
        <v>Satversmes tiesa</v>
      </c>
      <c r="P69" s="87">
        <f t="shared" si="1"/>
        <v>91</v>
      </c>
      <c r="Q69" s="87">
        <f>'[4]Marts'!K68</f>
        <v>71</v>
      </c>
      <c r="R69" s="61">
        <f t="shared" si="4"/>
        <v>20</v>
      </c>
    </row>
    <row r="70" spans="1:18" s="39" customFormat="1" ht="12.75">
      <c r="A70" s="115" t="s">
        <v>185</v>
      </c>
      <c r="B70" s="169">
        <v>311998</v>
      </c>
      <c r="C70" s="169">
        <v>94400</v>
      </c>
      <c r="D70" s="169">
        <f>50588+12826+2525+15614+7430+394</f>
        <v>89377</v>
      </c>
      <c r="E70" s="56">
        <f t="shared" si="2"/>
        <v>0.2864665799139738</v>
      </c>
      <c r="F70" s="56">
        <f t="shared" si="3"/>
        <v>0.9467902542372881</v>
      </c>
      <c r="G70" s="169">
        <f>D70-'[4]februāris'!D69</f>
        <v>49967.59</v>
      </c>
      <c r="H70" s="115" t="s">
        <v>185</v>
      </c>
      <c r="I70" s="169">
        <f aca="true" t="shared" si="24" ref="I70:K71">ROUND(B70/1000,0)</f>
        <v>312</v>
      </c>
      <c r="J70" s="169">
        <f t="shared" si="24"/>
        <v>94</v>
      </c>
      <c r="K70" s="169">
        <f t="shared" si="24"/>
        <v>89</v>
      </c>
      <c r="L70" s="166">
        <f t="shared" si="19"/>
        <v>0.28525641025641024</v>
      </c>
      <c r="M70" s="166">
        <f t="shared" si="20"/>
        <v>0.9468085106382979</v>
      </c>
      <c r="N70" s="169">
        <f>K70-'[4]Marts'!K69</f>
        <v>19</v>
      </c>
      <c r="O70" s="85" t="str">
        <f t="shared" si="0"/>
        <v>     Uzturēšanas izdevumi</v>
      </c>
      <c r="P70" s="85">
        <f t="shared" si="1"/>
        <v>89</v>
      </c>
      <c r="Q70" s="85">
        <f>'[4]Marts'!K69</f>
        <v>70</v>
      </c>
      <c r="R70" s="54">
        <f t="shared" si="4"/>
        <v>19</v>
      </c>
    </row>
    <row r="71" spans="1:18" s="39" customFormat="1" ht="12.75">
      <c r="A71" s="115" t="s">
        <v>186</v>
      </c>
      <c r="B71" s="169">
        <v>25500</v>
      </c>
      <c r="C71" s="169">
        <v>3000</v>
      </c>
      <c r="D71" s="170">
        <f>1609</f>
        <v>1609</v>
      </c>
      <c r="E71" s="56">
        <f t="shared" si="2"/>
        <v>0.06309803921568627</v>
      </c>
      <c r="F71" s="56">
        <f t="shared" si="3"/>
        <v>0.5363333333333333</v>
      </c>
      <c r="G71" s="169">
        <f>D71-'[4]februāris'!D70</f>
        <v>717.28</v>
      </c>
      <c r="H71" s="115" t="s">
        <v>186</v>
      </c>
      <c r="I71" s="169">
        <f t="shared" si="24"/>
        <v>26</v>
      </c>
      <c r="J71" s="169">
        <f>ROUND(C71/1000,0)</f>
        <v>3</v>
      </c>
      <c r="K71" s="169">
        <f t="shared" si="24"/>
        <v>2</v>
      </c>
      <c r="L71" s="166">
        <f t="shared" si="19"/>
        <v>0.07692307692307693</v>
      </c>
      <c r="M71" s="166">
        <f t="shared" si="20"/>
        <v>0.6666666666666666</v>
      </c>
      <c r="N71" s="169">
        <f>K71-'[4]Marts'!K70</f>
        <v>1</v>
      </c>
      <c r="O71" s="85" t="str">
        <f t="shared" si="0"/>
        <v>     Izdevumi kapitālieguldījumiem</v>
      </c>
      <c r="P71" s="85">
        <f t="shared" si="1"/>
        <v>2</v>
      </c>
      <c r="Q71" s="85">
        <f>'[4]Marts'!K70</f>
        <v>1</v>
      </c>
      <c r="R71" s="54">
        <f t="shared" si="4"/>
        <v>1</v>
      </c>
    </row>
    <row r="72" spans="1:18" s="2" customFormat="1" ht="12">
      <c r="A72" s="68" t="s">
        <v>207</v>
      </c>
      <c r="B72" s="167">
        <f>SUM(B73:B74)</f>
        <v>6261805</v>
      </c>
      <c r="C72" s="167">
        <f>SUM(C73:C74)</f>
        <v>2009267</v>
      </c>
      <c r="D72" s="167">
        <f>SUM(D73:D74)</f>
        <v>1962314</v>
      </c>
      <c r="E72" s="162">
        <f t="shared" si="2"/>
        <v>0.31337833100839135</v>
      </c>
      <c r="F72" s="162">
        <f t="shared" si="3"/>
        <v>0.9766317766628327</v>
      </c>
      <c r="G72" s="167">
        <f>SUM(G73:G74)</f>
        <v>988268.47</v>
      </c>
      <c r="H72" s="68" t="s">
        <v>207</v>
      </c>
      <c r="I72" s="167">
        <f>SUM(I73:I74)</f>
        <v>6262</v>
      </c>
      <c r="J72" s="167">
        <f>SUM(J73:J74)</f>
        <v>2009</v>
      </c>
      <c r="K72" s="167">
        <f>SUM(K73:K74)</f>
        <v>1962</v>
      </c>
      <c r="L72" s="163">
        <f t="shared" si="19"/>
        <v>0.3133184286170553</v>
      </c>
      <c r="M72" s="163">
        <f t="shared" si="20"/>
        <v>0.9766052762568442</v>
      </c>
      <c r="N72" s="167">
        <f>SUM(N73:N74)</f>
        <v>487</v>
      </c>
      <c r="O72" s="87" t="str">
        <f t="shared" si="0"/>
        <v>Prokuratūra</v>
      </c>
      <c r="P72" s="87">
        <f t="shared" si="1"/>
        <v>1962</v>
      </c>
      <c r="Q72" s="87">
        <f>'[4]Marts'!K71</f>
        <v>1475</v>
      </c>
      <c r="R72" s="61">
        <f t="shared" si="4"/>
        <v>487</v>
      </c>
    </row>
    <row r="73" spans="1:18" s="39" customFormat="1" ht="12.75">
      <c r="A73" s="115" t="s">
        <v>185</v>
      </c>
      <c r="B73" s="169">
        <v>6184745</v>
      </c>
      <c r="C73" s="169">
        <v>1987267</v>
      </c>
      <c r="D73" s="169">
        <f>1246773+304046+17693+234913+129994+679+11794</f>
        <v>1945892</v>
      </c>
      <c r="E73" s="56">
        <f t="shared" si="2"/>
        <v>0.31462768473073666</v>
      </c>
      <c r="F73" s="56">
        <f t="shared" si="3"/>
        <v>0.9791799491462395</v>
      </c>
      <c r="G73" s="169">
        <f>D73-'[4]februāris'!D72</f>
        <v>978196.08</v>
      </c>
      <c r="H73" s="115" t="s">
        <v>185</v>
      </c>
      <c r="I73" s="169">
        <f aca="true" t="shared" si="25" ref="I73:K74">ROUND(B73/1000,0)</f>
        <v>6185</v>
      </c>
      <c r="J73" s="169">
        <f t="shared" si="25"/>
        <v>1987</v>
      </c>
      <c r="K73" s="169">
        <f t="shared" si="25"/>
        <v>1946</v>
      </c>
      <c r="L73" s="166">
        <f t="shared" si="19"/>
        <v>0.31463217461600645</v>
      </c>
      <c r="M73" s="166">
        <f t="shared" si="20"/>
        <v>0.9793658782083543</v>
      </c>
      <c r="N73" s="169">
        <f>K73-'[4]Marts'!K72</f>
        <v>483</v>
      </c>
      <c r="O73" s="85" t="str">
        <f t="shared" si="0"/>
        <v>     Uzturēšanas izdevumi</v>
      </c>
      <c r="P73" s="85">
        <f t="shared" si="1"/>
        <v>1946</v>
      </c>
      <c r="Q73" s="85">
        <f>'[4]Marts'!K72</f>
        <v>1463</v>
      </c>
      <c r="R73" s="54">
        <f t="shared" si="4"/>
        <v>483</v>
      </c>
    </row>
    <row r="74" spans="1:18" s="39" customFormat="1" ht="12.75">
      <c r="A74" s="115" t="s">
        <v>186</v>
      </c>
      <c r="B74" s="169">
        <v>77060</v>
      </c>
      <c r="C74" s="169">
        <v>22000</v>
      </c>
      <c r="D74" s="169">
        <f>16422</f>
        <v>16422</v>
      </c>
      <c r="E74" s="56">
        <f t="shared" si="2"/>
        <v>0.21310667012717363</v>
      </c>
      <c r="F74" s="56">
        <f t="shared" si="3"/>
        <v>0.7464545454545455</v>
      </c>
      <c r="G74" s="169">
        <f>D74-'[4]februāris'!D73</f>
        <v>10072.39</v>
      </c>
      <c r="H74" s="115" t="s">
        <v>186</v>
      </c>
      <c r="I74" s="169">
        <f t="shared" si="25"/>
        <v>77</v>
      </c>
      <c r="J74" s="169">
        <f t="shared" si="25"/>
        <v>22</v>
      </c>
      <c r="K74" s="169">
        <f t="shared" si="25"/>
        <v>16</v>
      </c>
      <c r="L74" s="166">
        <f t="shared" si="19"/>
        <v>0.2077922077922078</v>
      </c>
      <c r="M74" s="166">
        <f t="shared" si="20"/>
        <v>0.7272727272727273</v>
      </c>
      <c r="N74" s="169">
        <f>K74-'[4]Marts'!K73</f>
        <v>4</v>
      </c>
      <c r="O74" s="85" t="str">
        <f aca="true" t="shared" si="26" ref="O74:O97">H74</f>
        <v>     Izdevumi kapitālieguldījumiem</v>
      </c>
      <c r="P74" s="85">
        <f aca="true" t="shared" si="27" ref="P74:P97">K74</f>
        <v>16</v>
      </c>
      <c r="Q74" s="85">
        <f>'[4]Marts'!K73</f>
        <v>12</v>
      </c>
      <c r="R74" s="54">
        <f t="shared" si="4"/>
        <v>4</v>
      </c>
    </row>
    <row r="75" spans="1:18" s="2" customFormat="1" ht="12.75" customHeight="1">
      <c r="A75" s="176" t="s">
        <v>208</v>
      </c>
      <c r="B75" s="167">
        <f>SUM(B76:B77)</f>
        <v>77359</v>
      </c>
      <c r="C75" s="167">
        <f>SUM(C76:C77)</f>
        <v>23750</v>
      </c>
      <c r="D75" s="167">
        <f>SUM(D76:D77)</f>
        <v>23359</v>
      </c>
      <c r="E75" s="162">
        <f t="shared" si="2"/>
        <v>0.3019558163885262</v>
      </c>
      <c r="F75" s="162">
        <f t="shared" si="3"/>
        <v>0.9835368421052632</v>
      </c>
      <c r="G75" s="167">
        <f>SUM(G76:G77)</f>
        <v>12819.88</v>
      </c>
      <c r="H75" s="176" t="s">
        <v>208</v>
      </c>
      <c r="I75" s="167">
        <f>SUM(I76:I77)</f>
        <v>77</v>
      </c>
      <c r="J75" s="167">
        <f>SUM(J76:J77)</f>
        <v>24</v>
      </c>
      <c r="K75" s="167">
        <f>SUM(K76:K77)</f>
        <v>23</v>
      </c>
      <c r="L75" s="163">
        <f t="shared" si="19"/>
        <v>0.2987012987012987</v>
      </c>
      <c r="M75" s="163">
        <f t="shared" si="20"/>
        <v>0.9583333333333334</v>
      </c>
      <c r="N75" s="167">
        <f>SUM(N76:N77)</f>
        <v>6</v>
      </c>
      <c r="O75" s="87" t="str">
        <f t="shared" si="26"/>
        <v>Centrālā vēlēšanu komisija</v>
      </c>
      <c r="P75" s="87">
        <f t="shared" si="27"/>
        <v>23</v>
      </c>
      <c r="Q75" s="87">
        <f>'[4]Marts'!K74</f>
        <v>17</v>
      </c>
      <c r="R75" s="61">
        <f t="shared" si="4"/>
        <v>6</v>
      </c>
    </row>
    <row r="76" spans="1:18" s="39" customFormat="1" ht="12.75">
      <c r="A76" s="115" t="s">
        <v>185</v>
      </c>
      <c r="B76" s="169">
        <v>75359</v>
      </c>
      <c r="C76" s="169">
        <v>22750</v>
      </c>
      <c r="D76" s="169">
        <f>10240+2772+533+8091+745</f>
        <v>22381</v>
      </c>
      <c r="E76" s="56">
        <f aca="true" t="shared" si="28" ref="E76:E97">IF(ISERROR(D76/B76)," ",(D76/B76))</f>
        <v>0.2969917329051606</v>
      </c>
      <c r="F76" s="56">
        <f aca="true" t="shared" si="29" ref="F76:F92">IF(ISERROR(D76/C76)," ",(D76/C76))</f>
        <v>0.9837802197802198</v>
      </c>
      <c r="G76" s="169">
        <f>D76-'[4]februāris'!D75</f>
        <v>11841.88</v>
      </c>
      <c r="H76" s="115" t="s">
        <v>185</v>
      </c>
      <c r="I76" s="169">
        <f aca="true" t="shared" si="30" ref="I76:K77">ROUND(B76/1000,0)</f>
        <v>75</v>
      </c>
      <c r="J76" s="169">
        <f t="shared" si="30"/>
        <v>23</v>
      </c>
      <c r="K76" s="169">
        <f t="shared" si="30"/>
        <v>22</v>
      </c>
      <c r="L76" s="166">
        <f t="shared" si="19"/>
        <v>0.29333333333333333</v>
      </c>
      <c r="M76" s="166">
        <f t="shared" si="20"/>
        <v>0.9565217391304348</v>
      </c>
      <c r="N76" s="169">
        <f>K76-'[4]Marts'!K75</f>
        <v>5</v>
      </c>
      <c r="O76" s="85" t="str">
        <f t="shared" si="26"/>
        <v>     Uzturēšanas izdevumi</v>
      </c>
      <c r="P76" s="85">
        <f t="shared" si="27"/>
        <v>22</v>
      </c>
      <c r="Q76" s="85">
        <f>'[4]Marts'!K75</f>
        <v>17</v>
      </c>
      <c r="R76" s="54">
        <f aca="true" t="shared" si="31" ref="R76:R97">P76-Q76</f>
        <v>5</v>
      </c>
    </row>
    <row r="77" spans="1:18" s="39" customFormat="1" ht="12.75">
      <c r="A77" s="115" t="s">
        <v>186</v>
      </c>
      <c r="B77" s="169">
        <v>2000</v>
      </c>
      <c r="C77" s="169">
        <v>1000</v>
      </c>
      <c r="D77" s="169">
        <v>978</v>
      </c>
      <c r="E77" s="56">
        <f t="shared" si="28"/>
        <v>0.489</v>
      </c>
      <c r="F77" s="56">
        <f t="shared" si="29"/>
        <v>0.978</v>
      </c>
      <c r="G77" s="169">
        <f>D77-'[4]februāris'!D76</f>
        <v>978</v>
      </c>
      <c r="H77" s="115" t="s">
        <v>186</v>
      </c>
      <c r="I77" s="169">
        <f t="shared" si="30"/>
        <v>2</v>
      </c>
      <c r="J77" s="169">
        <f t="shared" si="30"/>
        <v>1</v>
      </c>
      <c r="K77" s="169">
        <f t="shared" si="30"/>
        <v>1</v>
      </c>
      <c r="L77" s="166">
        <f t="shared" si="19"/>
        <v>0.5</v>
      </c>
      <c r="M77" s="166">
        <f t="shared" si="20"/>
        <v>1</v>
      </c>
      <c r="N77" s="169">
        <f>K77-'[4]Marts'!K76</f>
        <v>1</v>
      </c>
      <c r="O77" s="85" t="str">
        <f t="shared" si="26"/>
        <v>     Izdevumi kapitālieguldījumiem</v>
      </c>
      <c r="P77" s="85">
        <f t="shared" si="27"/>
        <v>1</v>
      </c>
      <c r="Q77" s="85">
        <f>'[4]Marts'!K76</f>
        <v>0</v>
      </c>
      <c r="R77" s="54">
        <f t="shared" si="31"/>
        <v>1</v>
      </c>
    </row>
    <row r="78" spans="1:18" s="2" customFormat="1" ht="15" customHeight="1">
      <c r="A78" s="53" t="s">
        <v>209</v>
      </c>
      <c r="B78" s="167">
        <f>SUM(B79)</f>
        <v>52299</v>
      </c>
      <c r="C78" s="167">
        <f>SUM(C79)</f>
        <v>16060</v>
      </c>
      <c r="D78" s="167">
        <f>SUM(D79)</f>
        <v>14022</v>
      </c>
      <c r="E78" s="162">
        <f t="shared" si="28"/>
        <v>0.26811220099810706</v>
      </c>
      <c r="F78" s="162">
        <f t="shared" si="29"/>
        <v>0.8731008717310087</v>
      </c>
      <c r="G78" s="167">
        <f>D78-'[4]Janvāris'!D77</f>
        <v>10869.85</v>
      </c>
      <c r="H78" s="53" t="s">
        <v>209</v>
      </c>
      <c r="I78" s="167">
        <f>SUM(I79)</f>
        <v>52</v>
      </c>
      <c r="J78" s="167">
        <f>SUM(J79)</f>
        <v>16</v>
      </c>
      <c r="K78" s="167">
        <f>SUM(K79)</f>
        <v>14</v>
      </c>
      <c r="L78" s="163">
        <f t="shared" si="19"/>
        <v>0.2692307692307692</v>
      </c>
      <c r="M78" s="163">
        <f t="shared" si="20"/>
        <v>0.875</v>
      </c>
      <c r="N78" s="167">
        <f>SUM(N79)</f>
        <v>3</v>
      </c>
      <c r="O78" s="87" t="str">
        <f t="shared" si="26"/>
        <v>Centrālā zemes komisija</v>
      </c>
      <c r="P78" s="87">
        <f t="shared" si="27"/>
        <v>14</v>
      </c>
      <c r="Q78" s="87">
        <f>'[4]Marts'!K77</f>
        <v>11</v>
      </c>
      <c r="R78" s="61">
        <f t="shared" si="31"/>
        <v>3</v>
      </c>
    </row>
    <row r="79" spans="1:18" s="39" customFormat="1" ht="12.75">
      <c r="A79" s="115" t="s">
        <v>185</v>
      </c>
      <c r="B79" s="169">
        <v>52299</v>
      </c>
      <c r="C79" s="169">
        <v>16060</v>
      </c>
      <c r="D79" s="169">
        <f>10196+2546+26+1107+147</f>
        <v>14022</v>
      </c>
      <c r="E79" s="56">
        <f t="shared" si="28"/>
        <v>0.26811220099810706</v>
      </c>
      <c r="F79" s="56">
        <f t="shared" si="29"/>
        <v>0.8731008717310087</v>
      </c>
      <c r="G79" s="169">
        <f>D79-'[4]februāris'!D78</f>
        <v>7898.55</v>
      </c>
      <c r="H79" s="115" t="s">
        <v>185</v>
      </c>
      <c r="I79" s="169">
        <f>ROUND(B79/1000,0)</f>
        <v>52</v>
      </c>
      <c r="J79" s="169">
        <f>ROUND(C79/1000,0)</f>
        <v>16</v>
      </c>
      <c r="K79" s="169">
        <f>ROUND(D79/1000,0)</f>
        <v>14</v>
      </c>
      <c r="L79" s="166">
        <f t="shared" si="19"/>
        <v>0.2692307692307692</v>
      </c>
      <c r="M79" s="166">
        <f t="shared" si="20"/>
        <v>0.875</v>
      </c>
      <c r="N79" s="169">
        <f>K79-'[4]Marts'!K78</f>
        <v>3</v>
      </c>
      <c r="O79" s="85" t="str">
        <f t="shared" si="26"/>
        <v>     Uzturēšanas izdevumi</v>
      </c>
      <c r="P79" s="85">
        <f t="shared" si="27"/>
        <v>14</v>
      </c>
      <c r="Q79" s="85">
        <f>'[4]Marts'!K78</f>
        <v>11</v>
      </c>
      <c r="R79" s="54">
        <f t="shared" si="31"/>
        <v>3</v>
      </c>
    </row>
    <row r="80" spans="1:18" s="2" customFormat="1" ht="24">
      <c r="A80" s="53" t="s">
        <v>210</v>
      </c>
      <c r="B80" s="167">
        <f>SUM(B81)</f>
        <v>784088</v>
      </c>
      <c r="C80" s="167">
        <f>SUM(C81)</f>
        <v>240768</v>
      </c>
      <c r="D80" s="167">
        <f>SUM(D81)</f>
        <v>240768</v>
      </c>
      <c r="E80" s="162">
        <f t="shared" si="28"/>
        <v>0.307067574047811</v>
      </c>
      <c r="F80" s="162">
        <f t="shared" si="29"/>
        <v>1</v>
      </c>
      <c r="G80" s="167">
        <f>D80-'[4]februāris'!D79</f>
        <v>126700</v>
      </c>
      <c r="H80" s="53" t="s">
        <v>210</v>
      </c>
      <c r="I80" s="167">
        <f>SUM(I81)</f>
        <v>784</v>
      </c>
      <c r="J80" s="167">
        <f>SUM(J81)</f>
        <v>241</v>
      </c>
      <c r="K80" s="167">
        <f>SUM(K81)</f>
        <v>241</v>
      </c>
      <c r="L80" s="163">
        <f t="shared" si="19"/>
        <v>0.30739795918367346</v>
      </c>
      <c r="M80" s="163">
        <f t="shared" si="20"/>
        <v>1</v>
      </c>
      <c r="N80" s="167">
        <f>SUM(N81)</f>
        <v>66</v>
      </c>
      <c r="O80" s="87" t="str">
        <f t="shared" si="26"/>
        <v>Satversmes aizsardzības birojs</v>
      </c>
      <c r="P80" s="87">
        <f t="shared" si="27"/>
        <v>241</v>
      </c>
      <c r="Q80" s="87">
        <f>'[4]Marts'!K79</f>
        <v>175</v>
      </c>
      <c r="R80" s="61">
        <f t="shared" si="31"/>
        <v>66</v>
      </c>
    </row>
    <row r="81" spans="1:18" s="39" customFormat="1" ht="12.75">
      <c r="A81" s="115" t="s">
        <v>185</v>
      </c>
      <c r="B81" s="169">
        <v>784088</v>
      </c>
      <c r="C81" s="169">
        <v>240768</v>
      </c>
      <c r="D81" s="169">
        <v>240768</v>
      </c>
      <c r="E81" s="56">
        <f t="shared" si="28"/>
        <v>0.307067574047811</v>
      </c>
      <c r="F81" s="56">
        <f t="shared" si="29"/>
        <v>1</v>
      </c>
      <c r="G81" s="169">
        <f>D81-'[4]februāris'!D80</f>
        <v>126700</v>
      </c>
      <c r="H81" s="115" t="s">
        <v>185</v>
      </c>
      <c r="I81" s="169">
        <f>ROUND(B81/1000,0)</f>
        <v>784</v>
      </c>
      <c r="J81" s="169">
        <f>ROUND(C81/1000,0)</f>
        <v>241</v>
      </c>
      <c r="K81" s="169">
        <f>ROUND(D81/1000,0)</f>
        <v>241</v>
      </c>
      <c r="L81" s="166">
        <f t="shared" si="19"/>
        <v>0.30739795918367346</v>
      </c>
      <c r="M81" s="166">
        <f t="shared" si="20"/>
        <v>1</v>
      </c>
      <c r="N81" s="169">
        <f>K81-'[4]Marts'!K80</f>
        <v>66</v>
      </c>
      <c r="O81" s="85" t="str">
        <f t="shared" si="26"/>
        <v>     Uzturēšanas izdevumi</v>
      </c>
      <c r="P81" s="85">
        <f t="shared" si="27"/>
        <v>241</v>
      </c>
      <c r="Q81" s="85">
        <f>'[4]Marts'!K80</f>
        <v>175</v>
      </c>
      <c r="R81" s="54">
        <f t="shared" si="31"/>
        <v>66</v>
      </c>
    </row>
    <row r="82" spans="1:18" s="2" customFormat="1" ht="12">
      <c r="A82" s="68" t="s">
        <v>211</v>
      </c>
      <c r="B82" s="167">
        <f>SUM(B83:B84)</f>
        <v>6784329</v>
      </c>
      <c r="C82" s="167">
        <f>SUM(C83:C84)</f>
        <v>2323396</v>
      </c>
      <c r="D82" s="167">
        <f>SUM(D83:D84)</f>
        <v>2281226</v>
      </c>
      <c r="E82" s="162">
        <f t="shared" si="28"/>
        <v>0.33624931809763353</v>
      </c>
      <c r="F82" s="162">
        <f t="shared" si="29"/>
        <v>0.9818498439353429</v>
      </c>
      <c r="G82" s="167">
        <f>D82-'[4]februāris'!D81</f>
        <v>1202953.7</v>
      </c>
      <c r="H82" s="68" t="s">
        <v>211</v>
      </c>
      <c r="I82" s="167">
        <f>SUM(I83:I84)</f>
        <v>6783</v>
      </c>
      <c r="J82" s="167">
        <f>SUM(J83:J84)</f>
        <v>2323</v>
      </c>
      <c r="K82" s="167">
        <f>SUM(K83:K84)</f>
        <v>2281</v>
      </c>
      <c r="L82" s="163">
        <f t="shared" si="19"/>
        <v>0.33628188117352203</v>
      </c>
      <c r="M82" s="163">
        <f t="shared" si="20"/>
        <v>0.9819199311235471</v>
      </c>
      <c r="N82" s="167">
        <f>SUM(N83:N84)</f>
        <v>637</v>
      </c>
      <c r="O82" s="87" t="str">
        <f t="shared" si="26"/>
        <v>Radio un televīzija</v>
      </c>
      <c r="P82" s="87">
        <f t="shared" si="27"/>
        <v>2281</v>
      </c>
      <c r="Q82" s="87">
        <f>'[4]Marts'!K81</f>
        <v>1644</v>
      </c>
      <c r="R82" s="61">
        <f t="shared" si="31"/>
        <v>637</v>
      </c>
    </row>
    <row r="83" spans="1:18" s="39" customFormat="1" ht="12.75">
      <c r="A83" s="115" t="s">
        <v>185</v>
      </c>
      <c r="B83" s="169">
        <v>6576329</v>
      </c>
      <c r="C83" s="169">
        <v>2192396</v>
      </c>
      <c r="D83" s="169">
        <f>28486+7881+1839+16743+4563+2090876</f>
        <v>2150388</v>
      </c>
      <c r="E83" s="56">
        <f t="shared" si="28"/>
        <v>0.3269891150518777</v>
      </c>
      <c r="F83" s="56">
        <f t="shared" si="29"/>
        <v>0.9808392279496952</v>
      </c>
      <c r="G83" s="169">
        <f>D83-'[4]februāris'!D82</f>
        <v>1072705.7</v>
      </c>
      <c r="H83" s="115" t="s">
        <v>185</v>
      </c>
      <c r="I83" s="169">
        <f aca="true" t="shared" si="32" ref="I83:K84">ROUND(B83/1000,0)</f>
        <v>6576</v>
      </c>
      <c r="J83" s="169">
        <f>ROUND(C83/1000,0)</f>
        <v>2192</v>
      </c>
      <c r="K83" s="169">
        <f t="shared" si="32"/>
        <v>2150</v>
      </c>
      <c r="L83" s="166">
        <f t="shared" si="19"/>
        <v>0.3269464720194647</v>
      </c>
      <c r="M83" s="166">
        <f t="shared" si="20"/>
        <v>0.9808394160583942</v>
      </c>
      <c r="N83" s="169">
        <f>K83-'[4]Marts'!K82</f>
        <v>527</v>
      </c>
      <c r="O83" s="85" t="str">
        <f t="shared" si="26"/>
        <v>     Uzturēšanas izdevumi</v>
      </c>
      <c r="P83" s="85">
        <f t="shared" si="27"/>
        <v>2150</v>
      </c>
      <c r="Q83" s="85">
        <f>'[4]Marts'!K82</f>
        <v>1623</v>
      </c>
      <c r="R83" s="54">
        <f t="shared" si="31"/>
        <v>527</v>
      </c>
    </row>
    <row r="84" spans="1:18" s="39" customFormat="1" ht="12.75">
      <c r="A84" s="115" t="s">
        <v>186</v>
      </c>
      <c r="B84" s="169">
        <v>208000</v>
      </c>
      <c r="C84" s="169">
        <v>131000</v>
      </c>
      <c r="D84" s="169">
        <f>248+590+130000</f>
        <v>130838</v>
      </c>
      <c r="E84" s="56">
        <f t="shared" si="28"/>
        <v>0.6290288461538461</v>
      </c>
      <c r="F84" s="56">
        <f t="shared" si="29"/>
        <v>0.998763358778626</v>
      </c>
      <c r="G84" s="169">
        <f>D84-'[4]februāris'!D83</f>
        <v>130248</v>
      </c>
      <c r="H84" s="115" t="s">
        <v>186</v>
      </c>
      <c r="I84" s="169">
        <f>ROUND(B84/1000,0)-1</f>
        <v>207</v>
      </c>
      <c r="J84" s="169">
        <f t="shared" si="32"/>
        <v>131</v>
      </c>
      <c r="K84" s="169">
        <f>ROUND(D84/1000,0)</f>
        <v>131</v>
      </c>
      <c r="L84" s="166">
        <f t="shared" si="19"/>
        <v>0.6328502415458938</v>
      </c>
      <c r="M84" s="166">
        <f t="shared" si="20"/>
        <v>1</v>
      </c>
      <c r="N84" s="169">
        <f>K84-'[4]Marts'!K83</f>
        <v>110</v>
      </c>
      <c r="O84" s="85" t="str">
        <f t="shared" si="26"/>
        <v>     Izdevumi kapitālieguldījumiem</v>
      </c>
      <c r="P84" s="85">
        <f t="shared" si="27"/>
        <v>131</v>
      </c>
      <c r="Q84" s="85">
        <f>'[4]Marts'!K83</f>
        <v>21</v>
      </c>
      <c r="R84" s="54">
        <f t="shared" si="31"/>
        <v>110</v>
      </c>
    </row>
    <row r="85" spans="1:18" s="2" customFormat="1" ht="12">
      <c r="A85" s="53" t="s">
        <v>212</v>
      </c>
      <c r="B85" s="167">
        <f>SUM(B86)</f>
        <v>96621</v>
      </c>
      <c r="C85" s="167">
        <f>SUM(C86)</f>
        <v>34596</v>
      </c>
      <c r="D85" s="167">
        <f>SUM(D86)</f>
        <v>34595</v>
      </c>
      <c r="E85" s="162">
        <f t="shared" si="28"/>
        <v>0.3580484573746908</v>
      </c>
      <c r="F85" s="162">
        <f t="shared" si="29"/>
        <v>0.9999710949242687</v>
      </c>
      <c r="G85" s="167">
        <f>D85-'[4]Janvāris'!D84</f>
        <v>25551</v>
      </c>
      <c r="H85" s="53" t="s">
        <v>212</v>
      </c>
      <c r="I85" s="167">
        <f>SUM(I86)</f>
        <v>97</v>
      </c>
      <c r="J85" s="167">
        <f>SUM(J86)</f>
        <v>35</v>
      </c>
      <c r="K85" s="167">
        <f>SUM(K86)</f>
        <v>35</v>
      </c>
      <c r="L85" s="163">
        <f t="shared" si="19"/>
        <v>0.36082474226804123</v>
      </c>
      <c r="M85" s="163">
        <f t="shared" si="20"/>
        <v>1</v>
      </c>
      <c r="N85" s="167">
        <f>SUM(N86)</f>
        <v>8</v>
      </c>
      <c r="O85" s="87" t="str">
        <f t="shared" si="26"/>
        <v>Valsts cilvēktiesību birojs</v>
      </c>
      <c r="P85" s="87">
        <f t="shared" si="27"/>
        <v>35</v>
      </c>
      <c r="Q85" s="87">
        <f>'[4]Marts'!K84</f>
        <v>27</v>
      </c>
      <c r="R85" s="61">
        <f t="shared" si="31"/>
        <v>8</v>
      </c>
    </row>
    <row r="86" spans="1:18" s="39" customFormat="1" ht="12.75">
      <c r="A86" s="115" t="s">
        <v>185</v>
      </c>
      <c r="B86" s="169">
        <v>96621</v>
      </c>
      <c r="C86" s="169">
        <v>34596</v>
      </c>
      <c r="D86" s="169">
        <f>16740+4306+12328+1221</f>
        <v>34595</v>
      </c>
      <c r="E86" s="56">
        <f t="shared" si="28"/>
        <v>0.3580484573746908</v>
      </c>
      <c r="F86" s="56">
        <f t="shared" si="29"/>
        <v>0.9999710949242687</v>
      </c>
      <c r="G86" s="169">
        <f>D86-'[4]februāris'!D85</f>
        <v>16507</v>
      </c>
      <c r="H86" s="115" t="s">
        <v>185</v>
      </c>
      <c r="I86" s="169">
        <f>ROUND(B86/1000,0)</f>
        <v>97</v>
      </c>
      <c r="J86" s="169">
        <f>ROUND(C86/1000,0)</f>
        <v>35</v>
      </c>
      <c r="K86" s="169">
        <f>ROUND(D86/1000,0)</f>
        <v>35</v>
      </c>
      <c r="L86" s="166">
        <f t="shared" si="19"/>
        <v>0.36082474226804123</v>
      </c>
      <c r="M86" s="166">
        <f t="shared" si="20"/>
        <v>1</v>
      </c>
      <c r="N86" s="169">
        <f>K86-'[4]Marts'!K85</f>
        <v>8</v>
      </c>
      <c r="O86" s="85" t="str">
        <f t="shared" si="26"/>
        <v>     Uzturēšanas izdevumi</v>
      </c>
      <c r="P86" s="85">
        <f t="shared" si="27"/>
        <v>35</v>
      </c>
      <c r="Q86" s="85">
        <f>'[4]Marts'!K85</f>
        <v>27</v>
      </c>
      <c r="R86" s="54">
        <f t="shared" si="31"/>
        <v>8</v>
      </c>
    </row>
    <row r="87" spans="1:18" s="2" customFormat="1" ht="52.5" customHeight="1">
      <c r="A87" s="177" t="s">
        <v>213</v>
      </c>
      <c r="B87" s="167">
        <f>SUM(B88:B89)</f>
        <v>2265881</v>
      </c>
      <c r="C87" s="167">
        <f>SUM(C88:C89)</f>
        <v>938154</v>
      </c>
      <c r="D87" s="167">
        <f>SUM(D88:D89)</f>
        <v>441830</v>
      </c>
      <c r="E87" s="162">
        <f t="shared" si="28"/>
        <v>0.1949925878720021</v>
      </c>
      <c r="F87" s="162">
        <f t="shared" si="29"/>
        <v>0.47095679387392686</v>
      </c>
      <c r="G87" s="167">
        <f>D87-'[4]februāris'!D86</f>
        <v>172204.66999999998</v>
      </c>
      <c r="H87" s="177" t="s">
        <v>213</v>
      </c>
      <c r="I87" s="167">
        <f>SUM(I88:I89)</f>
        <v>2266</v>
      </c>
      <c r="J87" s="167">
        <f>SUM(J88:J89)</f>
        <v>938</v>
      </c>
      <c r="K87" s="167">
        <f>SUM(K88:K89)</f>
        <v>442</v>
      </c>
      <c r="L87" s="163">
        <f t="shared" si="19"/>
        <v>0.19505736981465135</v>
      </c>
      <c r="M87" s="163">
        <f t="shared" si="20"/>
        <v>0.47121535181236673</v>
      </c>
      <c r="N87" s="167">
        <f>SUM(N88:N89)</f>
        <v>59</v>
      </c>
      <c r="O87" s="87" t="str">
        <f t="shared" si="26"/>
        <v>Īpašu uzdevumu ministra sadarbībai  ar starptautiskajām finansu institūcijām sekretariāts</v>
      </c>
      <c r="P87" s="87">
        <f t="shared" si="27"/>
        <v>442</v>
      </c>
      <c r="Q87" s="87">
        <f>'[4]Marts'!K86</f>
        <v>383</v>
      </c>
      <c r="R87" s="61">
        <f t="shared" si="31"/>
        <v>59</v>
      </c>
    </row>
    <row r="88" spans="1:18" s="39" customFormat="1" ht="12.75">
      <c r="A88" s="115" t="s">
        <v>185</v>
      </c>
      <c r="B88" s="169">
        <v>2261881</v>
      </c>
      <c r="C88" s="169">
        <v>934154</v>
      </c>
      <c r="D88" s="169">
        <f>37991+9609+4963+211540+5691+55+170981</f>
        <v>440830</v>
      </c>
      <c r="E88" s="50">
        <f>IF(ISERROR(D88/B88)," ",(D88/B88))</f>
        <v>0.19489531058442067</v>
      </c>
      <c r="F88" s="50">
        <f>IF(ISERROR(D88/C88)," ",(D88/C88))</f>
        <v>0.47190291964708175</v>
      </c>
      <c r="G88" s="169">
        <f>D88-'[4]februāris'!D87</f>
        <v>171204.66999999998</v>
      </c>
      <c r="H88" s="115" t="s">
        <v>185</v>
      </c>
      <c r="I88" s="169">
        <f aca="true" t="shared" si="33" ref="I88:K89">ROUND(B88/1000,0)</f>
        <v>2262</v>
      </c>
      <c r="J88" s="169">
        <f t="shared" si="33"/>
        <v>934</v>
      </c>
      <c r="K88" s="169">
        <f t="shared" si="33"/>
        <v>441</v>
      </c>
      <c r="L88" s="166">
        <f t="shared" si="19"/>
        <v>0.19496021220159152</v>
      </c>
      <c r="M88" s="166">
        <f t="shared" si="20"/>
        <v>0.4721627408993576</v>
      </c>
      <c r="N88" s="169">
        <f>K88-'[4]Marts'!K87</f>
        <v>58</v>
      </c>
      <c r="O88" s="85" t="str">
        <f t="shared" si="26"/>
        <v>     Uzturēšanas izdevumi</v>
      </c>
      <c r="P88" s="85">
        <f t="shared" si="27"/>
        <v>441</v>
      </c>
      <c r="Q88" s="85">
        <f>'[4]Marts'!K87</f>
        <v>383</v>
      </c>
      <c r="R88" s="54">
        <f t="shared" si="31"/>
        <v>58</v>
      </c>
    </row>
    <row r="89" spans="1:18" s="39" customFormat="1" ht="12.75">
      <c r="A89" s="115" t="s">
        <v>186</v>
      </c>
      <c r="B89" s="169">
        <v>4000</v>
      </c>
      <c r="C89" s="169">
        <v>4000</v>
      </c>
      <c r="D89" s="169">
        <v>1000</v>
      </c>
      <c r="E89" s="50">
        <f t="shared" si="28"/>
        <v>0.25</v>
      </c>
      <c r="F89" s="50">
        <f>IF(ISERROR(D89/C89)," ",(D89/C89))</f>
        <v>0.25</v>
      </c>
      <c r="G89" s="169">
        <f>D89-'[4]februāris'!D88</f>
        <v>1000</v>
      </c>
      <c r="H89" s="115" t="s">
        <v>186</v>
      </c>
      <c r="I89" s="169">
        <f t="shared" si="33"/>
        <v>4</v>
      </c>
      <c r="J89" s="169">
        <f t="shared" si="33"/>
        <v>4</v>
      </c>
      <c r="K89" s="169">
        <f t="shared" si="33"/>
        <v>1</v>
      </c>
      <c r="L89" s="166">
        <f t="shared" si="19"/>
        <v>0.25</v>
      </c>
      <c r="M89" s="166">
        <f t="shared" si="20"/>
        <v>0.25</v>
      </c>
      <c r="N89" s="169">
        <f>K89-'[4]Marts'!K88</f>
        <v>1</v>
      </c>
      <c r="O89" s="85" t="str">
        <f t="shared" si="26"/>
        <v>     Izdevumi kapitālieguldījumiem</v>
      </c>
      <c r="P89" s="85">
        <f t="shared" si="27"/>
        <v>1</v>
      </c>
      <c r="Q89" s="85">
        <f>'[4]Marts'!K88</f>
        <v>0</v>
      </c>
      <c r="R89" s="54">
        <f t="shared" si="31"/>
        <v>1</v>
      </c>
    </row>
    <row r="90" spans="1:18" s="2" customFormat="1" ht="52.5" customHeight="1">
      <c r="A90" s="177" t="s">
        <v>214</v>
      </c>
      <c r="B90" s="167">
        <f>SUM(B91:B92)</f>
        <v>2790200</v>
      </c>
      <c r="C90" s="167">
        <f>SUM(C91:C92)</f>
        <v>802487</v>
      </c>
      <c r="D90" s="167">
        <f>SUM(D91:D92)</f>
        <v>254918</v>
      </c>
      <c r="E90" s="162">
        <f t="shared" si="28"/>
        <v>0.09136190954053473</v>
      </c>
      <c r="F90" s="162">
        <f t="shared" si="29"/>
        <v>0.31765997455410494</v>
      </c>
      <c r="G90" s="167">
        <f>SUM(G91:G92)</f>
        <v>138588.75999999998</v>
      </c>
      <c r="H90" s="177" t="s">
        <v>215</v>
      </c>
      <c r="I90" s="167">
        <f>SUM(I91:I92)</f>
        <v>2791</v>
      </c>
      <c r="J90" s="167">
        <f>SUM(J91:J92)</f>
        <v>803</v>
      </c>
      <c r="K90" s="167">
        <f>SUM(K91:K92)</f>
        <v>255</v>
      </c>
      <c r="L90" s="163">
        <f t="shared" si="19"/>
        <v>0.09136510211393765</v>
      </c>
      <c r="M90" s="163">
        <f t="shared" si="20"/>
        <v>0.3175591531755915</v>
      </c>
      <c r="N90" s="167">
        <f>SUM(N91:N92)</f>
        <v>63</v>
      </c>
      <c r="O90" s="87" t="str">
        <f t="shared" si="26"/>
        <v>Īpašu uzdevumu ministra valsts pārvaldes  un  pašvaldību  reformas jautājumos  sekretariāts</v>
      </c>
      <c r="P90" s="87">
        <f t="shared" si="27"/>
        <v>255</v>
      </c>
      <c r="Q90" s="87">
        <f>'[4]Marts'!K89</f>
        <v>192</v>
      </c>
      <c r="R90" s="61">
        <f t="shared" si="31"/>
        <v>63</v>
      </c>
    </row>
    <row r="91" spans="1:18" s="39" customFormat="1" ht="12.75">
      <c r="A91" s="115" t="s">
        <v>185</v>
      </c>
      <c r="B91" s="169">
        <v>2764643</v>
      </c>
      <c r="C91" s="169">
        <v>786760</v>
      </c>
      <c r="D91" s="169">
        <f>87777+23623+10838+112813+16445+107</f>
        <v>251603</v>
      </c>
      <c r="E91" s="50">
        <f t="shared" si="28"/>
        <v>0.09100741036003564</v>
      </c>
      <c r="F91" s="50">
        <f t="shared" si="29"/>
        <v>0.3197963800904977</v>
      </c>
      <c r="G91" s="169">
        <f>D91-'[4]februāris'!D90</f>
        <v>137097.93</v>
      </c>
      <c r="H91" s="115" t="s">
        <v>185</v>
      </c>
      <c r="I91" s="169">
        <f aca="true" t="shared" si="34" ref="I91:K92">ROUND(B91/1000,0)</f>
        <v>2765</v>
      </c>
      <c r="J91" s="169">
        <f t="shared" si="34"/>
        <v>787</v>
      </c>
      <c r="K91" s="169">
        <f>ROUND(D91/1000,0)</f>
        <v>252</v>
      </c>
      <c r="L91" s="166">
        <f t="shared" si="19"/>
        <v>0.09113924050632911</v>
      </c>
      <c r="M91" s="166">
        <f t="shared" si="20"/>
        <v>0.3202033036848793</v>
      </c>
      <c r="N91" s="169">
        <f>K91-'[4]Marts'!K90</f>
        <v>63</v>
      </c>
      <c r="O91" s="85" t="str">
        <f t="shared" si="26"/>
        <v>     Uzturēšanas izdevumi</v>
      </c>
      <c r="P91" s="85">
        <f t="shared" si="27"/>
        <v>252</v>
      </c>
      <c r="Q91" s="85">
        <f>'[4]Marts'!K90</f>
        <v>189</v>
      </c>
      <c r="R91" s="54">
        <f t="shared" si="31"/>
        <v>63</v>
      </c>
    </row>
    <row r="92" spans="1:18" s="39" customFormat="1" ht="12.75">
      <c r="A92" s="115" t="s">
        <v>186</v>
      </c>
      <c r="B92" s="169">
        <v>25557</v>
      </c>
      <c r="C92" s="169">
        <v>15727</v>
      </c>
      <c r="D92" s="169">
        <v>3315</v>
      </c>
      <c r="E92" s="50">
        <f t="shared" si="28"/>
        <v>0.12971005986618148</v>
      </c>
      <c r="F92" s="50">
        <f t="shared" si="29"/>
        <v>0.21078400203471737</v>
      </c>
      <c r="G92" s="169">
        <f>D92-'[4]februāris'!D91</f>
        <v>1490.83</v>
      </c>
      <c r="H92" s="115" t="s">
        <v>186</v>
      </c>
      <c r="I92" s="169">
        <f t="shared" si="34"/>
        <v>26</v>
      </c>
      <c r="J92" s="169">
        <f t="shared" si="34"/>
        <v>16</v>
      </c>
      <c r="K92" s="169">
        <f t="shared" si="34"/>
        <v>3</v>
      </c>
      <c r="L92" s="166">
        <f t="shared" si="19"/>
        <v>0.11538461538461539</v>
      </c>
      <c r="M92" s="166">
        <f t="shared" si="20"/>
        <v>0.1875</v>
      </c>
      <c r="N92" s="169">
        <f>K92-'[4]Marts'!K91</f>
        <v>0</v>
      </c>
      <c r="O92" s="85" t="str">
        <f t="shared" si="26"/>
        <v>     Izdevumi kapitālieguldījumiem</v>
      </c>
      <c r="P92" s="85">
        <f t="shared" si="27"/>
        <v>3</v>
      </c>
      <c r="Q92" s="85">
        <f>'[4]Marts'!K91</f>
        <v>3</v>
      </c>
      <c r="R92" s="54">
        <f t="shared" si="31"/>
        <v>0</v>
      </c>
    </row>
    <row r="93" spans="1:18" s="2" customFormat="1" ht="12.75" customHeight="1">
      <c r="A93" s="53" t="s">
        <v>216</v>
      </c>
      <c r="B93" s="167">
        <f>SUM(B94:B95)</f>
        <v>94493267</v>
      </c>
      <c r="C93" s="167">
        <f>SUM(C94:C95)</f>
        <v>31281201</v>
      </c>
      <c r="D93" s="167">
        <f>SUM(D94:D95)</f>
        <v>30421111</v>
      </c>
      <c r="E93" s="162">
        <f t="shared" si="28"/>
        <v>0.32193945627893256</v>
      </c>
      <c r="F93" s="162">
        <f>IF(ISERROR(D93/C93)," ",(D93/C93))</f>
        <v>0.9725045723148545</v>
      </c>
      <c r="G93" s="167">
        <f>SUM(G94:G95)</f>
        <v>16006317.09</v>
      </c>
      <c r="H93" s="53" t="s">
        <v>216</v>
      </c>
      <c r="I93" s="167">
        <f>SUM(I94:I95)</f>
        <v>94494</v>
      </c>
      <c r="J93" s="167">
        <f>SUM(J94:J95)</f>
        <v>31281</v>
      </c>
      <c r="K93" s="167">
        <f>SUM(K94:K95)</f>
        <v>30421</v>
      </c>
      <c r="L93" s="163">
        <f t="shared" si="19"/>
        <v>0.32193578428259995</v>
      </c>
      <c r="M93" s="163">
        <f t="shared" si="20"/>
        <v>0.9725072727853968</v>
      </c>
      <c r="N93" s="167">
        <f>SUM(N94:N95)</f>
        <v>8047</v>
      </c>
      <c r="O93" s="87" t="str">
        <f t="shared" si="26"/>
        <v>Mērķdotācijas pašvaldībām</v>
      </c>
      <c r="P93" s="87">
        <f t="shared" si="27"/>
        <v>30421</v>
      </c>
      <c r="Q93" s="87">
        <f>'[4]Marts'!K92</f>
        <v>22374</v>
      </c>
      <c r="R93" s="61">
        <f t="shared" si="31"/>
        <v>8047</v>
      </c>
    </row>
    <row r="94" spans="1:18" s="39" customFormat="1" ht="12.75">
      <c r="A94" s="115" t="s">
        <v>185</v>
      </c>
      <c r="B94" s="169">
        <v>83728544</v>
      </c>
      <c r="C94" s="169">
        <v>29588151</v>
      </c>
      <c r="D94" s="169">
        <v>29588075</v>
      </c>
      <c r="E94" s="56">
        <f t="shared" si="28"/>
        <v>0.3533809808038702</v>
      </c>
      <c r="F94" s="56">
        <f>IF(ISERROR(D94/C94)," ",(D94/C94))</f>
        <v>0.9999974314042132</v>
      </c>
      <c r="G94" s="169">
        <f>D94-'[4]februāris'!D93</f>
        <v>15464296</v>
      </c>
      <c r="H94" s="115" t="s">
        <v>185</v>
      </c>
      <c r="I94" s="169">
        <f aca="true" t="shared" si="35" ref="I94:K95">ROUND(B94/1000,0)</f>
        <v>83729</v>
      </c>
      <c r="J94" s="169">
        <f t="shared" si="35"/>
        <v>29588</v>
      </c>
      <c r="K94" s="169">
        <f t="shared" si="35"/>
        <v>29588</v>
      </c>
      <c r="L94" s="166">
        <f t="shared" si="19"/>
        <v>0.35337816049397464</v>
      </c>
      <c r="M94" s="166">
        <f t="shared" si="20"/>
        <v>1</v>
      </c>
      <c r="N94" s="169">
        <f>K94-'[4]Marts'!K93</f>
        <v>7754</v>
      </c>
      <c r="O94" s="85" t="str">
        <f t="shared" si="26"/>
        <v>     Uzturēšanas izdevumi</v>
      </c>
      <c r="P94" s="85">
        <f t="shared" si="27"/>
        <v>29588</v>
      </c>
      <c r="Q94" s="85">
        <f>'[4]Marts'!K93</f>
        <v>21834</v>
      </c>
      <c r="R94" s="54">
        <f t="shared" si="31"/>
        <v>7754</v>
      </c>
    </row>
    <row r="95" spans="1:18" s="39" customFormat="1" ht="12.75">
      <c r="A95" s="115" t="s">
        <v>186</v>
      </c>
      <c r="B95" s="169">
        <v>10764723</v>
      </c>
      <c r="C95" s="169">
        <v>1693050</v>
      </c>
      <c r="D95" s="169">
        <v>833036</v>
      </c>
      <c r="E95" s="56">
        <f t="shared" si="28"/>
        <v>0.07738573486749264</v>
      </c>
      <c r="F95" s="56">
        <f>IF(ISERROR(D95/C95)," ",(D95/C95))</f>
        <v>0.49203272201057263</v>
      </c>
      <c r="G95" s="169">
        <f>D95-'[4]februāris'!D94</f>
        <v>542021.0900000001</v>
      </c>
      <c r="H95" s="115" t="s">
        <v>186</v>
      </c>
      <c r="I95" s="169">
        <f t="shared" si="35"/>
        <v>10765</v>
      </c>
      <c r="J95" s="169">
        <f t="shared" si="35"/>
        <v>1693</v>
      </c>
      <c r="K95" s="169">
        <f t="shared" si="35"/>
        <v>833</v>
      </c>
      <c r="L95" s="166">
        <f t="shared" si="19"/>
        <v>0.07738039944263818</v>
      </c>
      <c r="M95" s="166">
        <f t="shared" si="20"/>
        <v>0.4920259893679858</v>
      </c>
      <c r="N95" s="169">
        <f>K95-'[4]Marts'!K94</f>
        <v>293</v>
      </c>
      <c r="O95" s="85" t="str">
        <f t="shared" si="26"/>
        <v>     Izdevumi kapitālieguldījumiem</v>
      </c>
      <c r="P95" s="85">
        <f t="shared" si="27"/>
        <v>833</v>
      </c>
      <c r="Q95" s="85">
        <f>'[4]Marts'!K94</f>
        <v>540</v>
      </c>
      <c r="R95" s="54">
        <f t="shared" si="31"/>
        <v>293</v>
      </c>
    </row>
    <row r="96" spans="1:18" s="2" customFormat="1" ht="12.75" customHeight="1">
      <c r="A96" s="53" t="s">
        <v>217</v>
      </c>
      <c r="B96" s="167">
        <f>SUM(B97)</f>
        <v>7463010</v>
      </c>
      <c r="C96" s="167">
        <f>SUM(C97)</f>
        <v>2602480</v>
      </c>
      <c r="D96" s="167">
        <f>SUM(D97)</f>
        <v>2462080</v>
      </c>
      <c r="E96" s="162">
        <f t="shared" si="28"/>
        <v>0.32990442194235303</v>
      </c>
      <c r="F96" s="162">
        <f>IF(ISERROR(D96/C96)," ",(D96/C96))</f>
        <v>0.9460514586087116</v>
      </c>
      <c r="G96" s="167">
        <f>D96-'[4]Janvāris'!D95</f>
        <v>1840800</v>
      </c>
      <c r="H96" s="53" t="s">
        <v>217</v>
      </c>
      <c r="I96" s="167">
        <f>SUM(I97)</f>
        <v>7463</v>
      </c>
      <c r="J96" s="167">
        <f>SUM(J97)</f>
        <v>2602</v>
      </c>
      <c r="K96" s="167">
        <f>SUM(K97)</f>
        <v>2462</v>
      </c>
      <c r="L96" s="163">
        <f t="shared" si="19"/>
        <v>0.3298941444459333</v>
      </c>
      <c r="M96" s="163">
        <f t="shared" si="20"/>
        <v>0.9461952344350499</v>
      </c>
      <c r="N96" s="167">
        <f>SUM(N97)</f>
        <v>598</v>
      </c>
      <c r="O96" s="87" t="str">
        <f t="shared" si="26"/>
        <v>Dotācija pašvaldībām</v>
      </c>
      <c r="P96" s="87">
        <f t="shared" si="27"/>
        <v>2462</v>
      </c>
      <c r="Q96" s="87">
        <f>'[4]Marts'!K95</f>
        <v>1864</v>
      </c>
      <c r="R96" s="61">
        <f t="shared" si="31"/>
        <v>598</v>
      </c>
    </row>
    <row r="97" spans="1:18" s="39" customFormat="1" ht="12.75">
      <c r="A97" s="124" t="s">
        <v>185</v>
      </c>
      <c r="B97" s="169">
        <v>7463010</v>
      </c>
      <c r="C97" s="169">
        <v>2602480</v>
      </c>
      <c r="D97" s="169">
        <v>2462080</v>
      </c>
      <c r="E97" s="56">
        <f t="shared" si="28"/>
        <v>0.32990442194235303</v>
      </c>
      <c r="F97" s="56">
        <f>IF(ISERROR(D97/C97)," ",(D97/C97))</f>
        <v>0.9460514586087116</v>
      </c>
      <c r="G97" s="169">
        <f>D97-'[4]februāris'!D96</f>
        <v>1219530</v>
      </c>
      <c r="H97" s="124" t="s">
        <v>185</v>
      </c>
      <c r="I97" s="169">
        <f>ROUND(B97/1000,0)</f>
        <v>7463</v>
      </c>
      <c r="J97" s="169">
        <f>ROUND(C97/1000,0)</f>
        <v>2602</v>
      </c>
      <c r="K97" s="169">
        <f>ROUND(D97/1000,0)</f>
        <v>2462</v>
      </c>
      <c r="L97" s="166">
        <f t="shared" si="19"/>
        <v>0.3298941444459333</v>
      </c>
      <c r="M97" s="166">
        <f t="shared" si="20"/>
        <v>0.9461952344350499</v>
      </c>
      <c r="N97" s="169">
        <f>K97-'[4]Marts'!K96</f>
        <v>598</v>
      </c>
      <c r="O97" s="85" t="str">
        <f t="shared" si="26"/>
        <v>     Uzturēšanas izdevumi</v>
      </c>
      <c r="P97" s="85">
        <f t="shared" si="27"/>
        <v>2462</v>
      </c>
      <c r="Q97" s="85">
        <f>'[4]Marts'!K96</f>
        <v>1864</v>
      </c>
      <c r="R97" s="54">
        <f t="shared" si="31"/>
        <v>598</v>
      </c>
    </row>
    <row r="98" spans="1:13" ht="38.25" customHeight="1">
      <c r="A98" s="178"/>
      <c r="B98" s="179"/>
      <c r="C98" s="179"/>
      <c r="D98" s="179"/>
      <c r="E98" s="180"/>
      <c r="F98" s="180"/>
      <c r="G98" s="43">
        <f>D98-'[4]februāris'!D97</f>
        <v>0</v>
      </c>
      <c r="H98" s="178"/>
      <c r="I98" s="179"/>
      <c r="J98" s="179"/>
      <c r="K98" s="179"/>
      <c r="L98" s="180"/>
      <c r="M98" s="180"/>
    </row>
    <row r="99" spans="1:13" ht="12.75">
      <c r="A99" s="178"/>
      <c r="B99" s="179"/>
      <c r="C99" s="179"/>
      <c r="D99" s="179"/>
      <c r="E99" s="181"/>
      <c r="F99" s="182"/>
      <c r="H99" s="32"/>
      <c r="I99" s="35"/>
      <c r="J99" s="34"/>
      <c r="K99" s="183"/>
      <c r="L99" s="183"/>
      <c r="M99" s="184"/>
    </row>
    <row r="100" spans="1:6" ht="12.75">
      <c r="A100" s="32" t="s">
        <v>218</v>
      </c>
      <c r="B100" s="35"/>
      <c r="C100" s="34"/>
      <c r="D100" s="183"/>
      <c r="E100" s="183"/>
      <c r="F100" s="184"/>
    </row>
    <row r="101" spans="2:14" ht="12.75">
      <c r="B101" s="31"/>
      <c r="C101" s="30" t="s">
        <v>219</v>
      </c>
      <c r="D101" s="30"/>
      <c r="E101" s="144"/>
      <c r="F101" s="185"/>
      <c r="I101" s="32"/>
      <c r="J101" s="35"/>
      <c r="K101" s="34"/>
      <c r="L101" s="183"/>
      <c r="M101" s="183"/>
      <c r="N101" s="185"/>
    </row>
    <row r="102" spans="2:13" ht="12.75">
      <c r="B102" s="31"/>
      <c r="C102" s="30"/>
      <c r="D102" s="30"/>
      <c r="E102" s="144"/>
      <c r="F102" s="185"/>
      <c r="M102" s="183"/>
    </row>
    <row r="103" spans="2:13" ht="12.75">
      <c r="B103" s="31"/>
      <c r="C103" s="30"/>
      <c r="D103" s="30"/>
      <c r="E103" s="144"/>
      <c r="F103" s="185"/>
      <c r="H103" s="43" t="s">
        <v>220</v>
      </c>
      <c r="I103" s="31"/>
      <c r="J103" s="30"/>
      <c r="K103" s="30"/>
      <c r="L103" s="144"/>
      <c r="M103" s="183"/>
    </row>
    <row r="104" spans="2:13" ht="12.75">
      <c r="B104" s="31"/>
      <c r="C104" s="30"/>
      <c r="D104" s="30"/>
      <c r="E104" s="144"/>
      <c r="F104" s="185"/>
      <c r="J104" s="30"/>
      <c r="K104" s="30"/>
      <c r="L104" s="144"/>
      <c r="M104" s="183"/>
    </row>
    <row r="105" ht="12.75">
      <c r="M105" s="183"/>
    </row>
    <row r="106" spans="3:4" ht="12.75">
      <c r="C106" s="30"/>
      <c r="D106" s="30"/>
    </row>
    <row r="110" ht="12.75">
      <c r="A110" s="43" t="s">
        <v>120</v>
      </c>
    </row>
    <row r="111" ht="12.75">
      <c r="A111" s="43" t="s">
        <v>221</v>
      </c>
    </row>
    <row r="115" spans="3:4" ht="12.75">
      <c r="C115" s="30"/>
      <c r="D115" s="30"/>
    </row>
    <row r="116" spans="3:4" ht="12.75">
      <c r="C116" s="30"/>
      <c r="D116" s="30"/>
    </row>
    <row r="120" ht="12.75">
      <c r="I120" s="39"/>
    </row>
    <row r="121" ht="12.75">
      <c r="I121" s="39"/>
    </row>
    <row r="125" ht="12.75">
      <c r="H125" s="39" t="s">
        <v>120</v>
      </c>
    </row>
    <row r="126" ht="12.75">
      <c r="H126" s="39" t="s">
        <v>221</v>
      </c>
    </row>
  </sheetData>
  <mergeCells count="5">
    <mergeCell ref="H7:M7"/>
    <mergeCell ref="A4:F4"/>
    <mergeCell ref="H4:M4"/>
    <mergeCell ref="A5:F5"/>
    <mergeCell ref="H5:M5"/>
  </mergeCells>
  <printOptions/>
  <pageMargins left="0.75" right="0.24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H1">
      <selection activeCell="A9" sqref="A9"/>
    </sheetView>
  </sheetViews>
  <sheetFormatPr defaultColWidth="9.140625" defaultRowHeight="12.75"/>
  <cols>
    <col min="1" max="1" width="38.140625" style="43" hidden="1" customWidth="1"/>
    <col min="2" max="2" width="11.7109375" style="43" hidden="1" customWidth="1"/>
    <col min="3" max="3" width="10.8515625" style="43" hidden="1" customWidth="1"/>
    <col min="4" max="4" width="11.57421875" style="43" hidden="1" customWidth="1"/>
    <col min="5" max="5" width="7.28125" style="43" hidden="1" customWidth="1"/>
    <col min="6" max="6" width="8.421875" style="43" hidden="1" customWidth="1"/>
    <col min="7" max="7" width="10.00390625" style="43" hidden="1" customWidth="1"/>
    <col min="8" max="8" width="34.7109375" style="43" customWidth="1"/>
    <col min="9" max="9" width="11.7109375" style="43" customWidth="1"/>
    <col min="10" max="10" width="12.28125" style="43" customWidth="1"/>
    <col min="11" max="11" width="8.7109375" style="43" customWidth="1"/>
    <col min="12" max="12" width="8.140625" style="43" customWidth="1"/>
    <col min="13" max="13" width="9.140625" style="43" customWidth="1"/>
    <col min="14" max="14" width="9.28125" style="43" customWidth="1"/>
    <col min="15" max="15" width="38.28125" style="43" hidden="1" customWidth="1"/>
    <col min="16" max="16" width="12.8515625" style="43" hidden="1" customWidth="1"/>
    <col min="17" max="17" width="11.8515625" style="43" hidden="1" customWidth="1"/>
    <col min="18" max="18" width="12.28125" style="43" hidden="1" customWidth="1"/>
    <col min="19" max="16384" width="7.8515625" style="43" customWidth="1"/>
  </cols>
  <sheetData>
    <row r="1" spans="7:14" ht="12.75">
      <c r="G1" s="43" t="s">
        <v>222</v>
      </c>
      <c r="H1" s="75"/>
      <c r="I1" s="75"/>
      <c r="J1" s="75"/>
      <c r="K1" s="75"/>
      <c r="L1" s="75"/>
      <c r="M1" s="75"/>
      <c r="N1" s="75" t="s">
        <v>222</v>
      </c>
    </row>
    <row r="2" spans="1:14" ht="16.5" customHeight="1">
      <c r="A2" s="32" t="s">
        <v>223</v>
      </c>
      <c r="B2" s="32"/>
      <c r="C2" s="32"/>
      <c r="D2" s="32"/>
      <c r="E2" s="32"/>
      <c r="F2" s="32"/>
      <c r="H2" s="186" t="s">
        <v>45</v>
      </c>
      <c r="I2" s="186"/>
      <c r="J2" s="186"/>
      <c r="K2" s="186"/>
      <c r="L2" s="186"/>
      <c r="M2" s="186"/>
      <c r="N2" s="75"/>
    </row>
    <row r="3" spans="1:14" ht="4.5" customHeight="1" hidden="1">
      <c r="A3" s="82"/>
      <c r="H3" s="187"/>
      <c r="I3" s="75"/>
      <c r="J3" s="75"/>
      <c r="K3" s="75"/>
      <c r="L3" s="75"/>
      <c r="M3" s="75"/>
      <c r="N3" s="75"/>
    </row>
    <row r="4" spans="1:14" ht="12" customHeight="1">
      <c r="A4" s="82"/>
      <c r="H4" s="187"/>
      <c r="I4" s="75"/>
      <c r="J4" s="75"/>
      <c r="K4" s="75"/>
      <c r="L4" s="75"/>
      <c r="M4" s="75"/>
      <c r="N4" s="75"/>
    </row>
    <row r="5" spans="1:14" ht="15.75">
      <c r="A5" s="83" t="s">
        <v>224</v>
      </c>
      <c r="B5" s="32"/>
      <c r="C5" s="32"/>
      <c r="D5" s="32"/>
      <c r="E5" s="32"/>
      <c r="F5" s="32"/>
      <c r="H5" s="188" t="s">
        <v>225</v>
      </c>
      <c r="I5" s="189"/>
      <c r="J5" s="189"/>
      <c r="K5" s="189"/>
      <c r="L5" s="186"/>
      <c r="M5" s="186"/>
      <c r="N5" s="75"/>
    </row>
    <row r="6" spans="1:14" ht="15.75">
      <c r="A6" s="83" t="s">
        <v>226</v>
      </c>
      <c r="B6" s="32"/>
      <c r="C6" s="32"/>
      <c r="D6" s="32"/>
      <c r="E6" s="32"/>
      <c r="F6" s="32"/>
      <c r="H6" s="188" t="s">
        <v>226</v>
      </c>
      <c r="I6" s="189"/>
      <c r="J6" s="189"/>
      <c r="K6" s="189"/>
      <c r="L6" s="186"/>
      <c r="M6" s="186"/>
      <c r="N6" s="75"/>
    </row>
    <row r="7" spans="1:14" ht="15.75" customHeight="1">
      <c r="A7" s="83" t="s">
        <v>227</v>
      </c>
      <c r="B7" s="32"/>
      <c r="C7" s="32"/>
      <c r="D7" s="32"/>
      <c r="E7" s="32"/>
      <c r="F7" s="32"/>
      <c r="H7" s="188" t="s">
        <v>228</v>
      </c>
      <c r="I7" s="189"/>
      <c r="J7" s="189"/>
      <c r="K7" s="189"/>
      <c r="L7" s="186"/>
      <c r="M7" s="186"/>
      <c r="N7" s="75"/>
    </row>
    <row r="8" spans="1:14" s="84" customFormat="1" ht="23.25" customHeight="1">
      <c r="A8" s="43"/>
      <c r="B8" s="43"/>
      <c r="C8" s="43"/>
      <c r="D8" s="43"/>
      <c r="E8" s="43"/>
      <c r="F8" s="43"/>
      <c r="G8" s="43" t="s">
        <v>48</v>
      </c>
      <c r="H8" s="75"/>
      <c r="I8" s="75"/>
      <c r="J8" s="75"/>
      <c r="K8" s="75"/>
      <c r="L8" s="75"/>
      <c r="M8" s="75"/>
      <c r="N8" s="75" t="s">
        <v>48</v>
      </c>
    </row>
    <row r="9" spans="1:17" s="75" customFormat="1" ht="85.5" customHeight="1">
      <c r="A9" s="85" t="s">
        <v>2</v>
      </c>
      <c r="B9" s="85" t="s">
        <v>49</v>
      </c>
      <c r="C9" s="85" t="s">
        <v>229</v>
      </c>
      <c r="D9" s="85" t="s">
        <v>50</v>
      </c>
      <c r="E9" s="85" t="s">
        <v>230</v>
      </c>
      <c r="F9" s="85" t="s">
        <v>231</v>
      </c>
      <c r="G9" s="85" t="s">
        <v>232</v>
      </c>
      <c r="H9" s="87" t="s">
        <v>2</v>
      </c>
      <c r="I9" s="87" t="s">
        <v>49</v>
      </c>
      <c r="J9" s="87" t="s">
        <v>229</v>
      </c>
      <c r="K9" s="87" t="s">
        <v>50</v>
      </c>
      <c r="L9" s="87" t="s">
        <v>230</v>
      </c>
      <c r="M9" s="87" t="s">
        <v>233</v>
      </c>
      <c r="N9" s="87" t="s">
        <v>234</v>
      </c>
      <c r="O9" s="75" t="str">
        <f>H9</f>
        <v>Rādītāji</v>
      </c>
      <c r="P9" s="190" t="str">
        <f>K9</f>
        <v>Izpilde no gada sākuma</v>
      </c>
      <c r="Q9" s="178" t="str">
        <f>'[5]Februāris'!K9</f>
        <v>Izpilde no gada sākuma</v>
      </c>
    </row>
    <row r="10" spans="1:17" s="75" customFormat="1" ht="12.75" customHeight="1">
      <c r="A10" s="85">
        <v>1</v>
      </c>
      <c r="B10" s="85">
        <v>2</v>
      </c>
      <c r="C10" s="85">
        <v>3</v>
      </c>
      <c r="D10" s="85">
        <v>4</v>
      </c>
      <c r="E10" s="85">
        <v>5</v>
      </c>
      <c r="F10" s="85">
        <v>6</v>
      </c>
      <c r="G10" s="85">
        <v>7</v>
      </c>
      <c r="H10" s="85">
        <v>1</v>
      </c>
      <c r="I10" s="85">
        <v>2</v>
      </c>
      <c r="J10" s="85">
        <v>3</v>
      </c>
      <c r="K10" s="85">
        <v>4</v>
      </c>
      <c r="L10" s="85">
        <v>5</v>
      </c>
      <c r="M10" s="85">
        <v>6</v>
      </c>
      <c r="N10" s="85">
        <v>7</v>
      </c>
      <c r="O10" s="84">
        <f aca="true" t="shared" si="0" ref="O10:O54">H10</f>
        <v>1</v>
      </c>
      <c r="P10" s="190">
        <f aca="true" t="shared" si="1" ref="P10:P54">K10</f>
        <v>4</v>
      </c>
      <c r="Q10" s="178">
        <f>'[5]Februāris'!K10</f>
        <v>4</v>
      </c>
    </row>
    <row r="11" spans="1:18" s="75" customFormat="1" ht="18" customHeight="1">
      <c r="A11" s="71" t="s">
        <v>235</v>
      </c>
      <c r="B11" s="191">
        <v>737531269</v>
      </c>
      <c r="C11" s="26"/>
      <c r="D11" s="92">
        <v>231157322</v>
      </c>
      <c r="E11" s="192">
        <f>IF(ISERROR(D11/B12)," ",(D11/B12))</f>
        <v>0.3041966940187222</v>
      </c>
      <c r="F11" s="192" t="str">
        <f>IF(ISERROR(D11/C11)," ",(D11/C11))</f>
        <v> </v>
      </c>
      <c r="G11" s="26"/>
      <c r="H11" s="53" t="s">
        <v>235</v>
      </c>
      <c r="I11" s="193">
        <f aca="true" t="shared" si="2" ref="I11:I16">ROUND(B11/1000,0)</f>
        <v>737531</v>
      </c>
      <c r="J11" s="193"/>
      <c r="K11" s="193">
        <f>D11/1000</f>
        <v>231157.322</v>
      </c>
      <c r="L11" s="194">
        <f>IF(ISERROR(ROUND(K11,0)/ROUND(I11,0))," ",(ROUND(K11,)/ROUND(I11,)))</f>
        <v>0.3134200460726397</v>
      </c>
      <c r="M11" s="194" t="str">
        <f>IF(ISERROR(ROUND(K11,0)/ROUND(J11,0))," ",(ROUND(K11,)/ROUND(J11,)))</f>
        <v> </v>
      </c>
      <c r="N11" s="195">
        <v>60659</v>
      </c>
      <c r="O11" s="75" t="str">
        <f t="shared" si="0"/>
        <v>1. Ieņēmumi - kopā</v>
      </c>
      <c r="P11" s="190">
        <f t="shared" si="1"/>
        <v>231157.322</v>
      </c>
      <c r="Q11" s="178">
        <f>'[5]Marts'!K11</f>
        <v>170498</v>
      </c>
      <c r="R11" s="196">
        <f>P11-Q11</f>
        <v>60659.321999999986</v>
      </c>
    </row>
    <row r="12" spans="1:18" s="75" customFormat="1" ht="12.75" customHeight="1">
      <c r="A12" s="197" t="s">
        <v>236</v>
      </c>
      <c r="B12" s="198">
        <f>SUM(B13:B16)</f>
        <v>759894261</v>
      </c>
      <c r="C12" s="198">
        <f>C13+C14+C15+C16</f>
        <v>241418100</v>
      </c>
      <c r="D12" s="119">
        <f>SUM(D13:D16)</f>
        <v>233023791</v>
      </c>
      <c r="E12" s="199">
        <f aca="true" t="shared" si="3" ref="E12:E20">IF(ISERROR(D12/B12)," ",(D12/B12))</f>
        <v>0.30665291601669303</v>
      </c>
      <c r="F12" s="199">
        <f aca="true" t="shared" si="4" ref="F12:F18">IF(ISERROR(D12/C12)," ",(D12/C12))</f>
        <v>0.965229164673237</v>
      </c>
      <c r="G12" s="200">
        <f>SUM(G13:G16)</f>
        <v>0</v>
      </c>
      <c r="H12" s="124" t="s">
        <v>236</v>
      </c>
      <c r="I12" s="201">
        <f t="shared" si="2"/>
        <v>759894</v>
      </c>
      <c r="J12" s="202">
        <f>ROUND(C12/1000,0)</f>
        <v>241418</v>
      </c>
      <c r="K12" s="203">
        <f>K13+K14+K15+K16</f>
        <v>233023.769</v>
      </c>
      <c r="L12" s="56">
        <f>IF(ISERROR(K12/I12)," ",(K12/I12))</f>
        <v>0.306652992391044</v>
      </c>
      <c r="M12" s="56">
        <f>IF(ISERROR(K12/J12)," ",(K12/J12))</f>
        <v>0.9652294733615555</v>
      </c>
      <c r="N12" s="204">
        <f>N13+N14+N15+N16</f>
        <v>63085.769</v>
      </c>
      <c r="O12" s="75" t="str">
        <f t="shared" si="0"/>
        <v>Resursi izdevumu segšanai </v>
      </c>
      <c r="P12" s="190">
        <f t="shared" si="1"/>
        <v>233023.769</v>
      </c>
      <c r="Q12" s="178">
        <f>'[5]Marts'!K12</f>
        <v>169938</v>
      </c>
      <c r="R12" s="196">
        <f aca="true" t="shared" si="5" ref="R12:R54">P12-Q12</f>
        <v>63085.769</v>
      </c>
    </row>
    <row r="13" spans="1:18" s="75" customFormat="1" ht="12.75" customHeight="1">
      <c r="A13" s="63" t="s">
        <v>237</v>
      </c>
      <c r="B13" s="205">
        <v>667558079</v>
      </c>
      <c r="C13" s="205">
        <v>214368275</v>
      </c>
      <c r="D13" s="205">
        <f>C13</f>
        <v>214368275</v>
      </c>
      <c r="E13" s="206">
        <f t="shared" si="3"/>
        <v>0.32112303295186395</v>
      </c>
      <c r="F13" s="206">
        <f t="shared" si="4"/>
        <v>1</v>
      </c>
      <c r="G13" s="172"/>
      <c r="H13" s="124" t="s">
        <v>237</v>
      </c>
      <c r="I13" s="207">
        <f t="shared" si="2"/>
        <v>667558</v>
      </c>
      <c r="J13" s="207">
        <f>ROUND(C13/1000,0)</f>
        <v>214368</v>
      </c>
      <c r="K13" s="207">
        <f>ROUND(D13/1000,0)</f>
        <v>214368</v>
      </c>
      <c r="L13" s="208">
        <f aca="true" t="shared" si="6" ref="L13:L20">IF(ISERROR(ROUND(K13,0)/ROUND(I13,0))," ",(ROUND(K13,)/ROUND(I13,)))</f>
        <v>0.32112265900491044</v>
      </c>
      <c r="M13" s="208">
        <f>IF(ISERROR(ROUND(K13,0)/ROUND(J13,0))," ",(ROUND(K13,)/ROUND(J13,)))</f>
        <v>1</v>
      </c>
      <c r="N13" s="204">
        <f>K13-'[5]Marts'!K13</f>
        <v>58779</v>
      </c>
      <c r="O13" s="75" t="str">
        <f t="shared" si="0"/>
        <v>   Dotācija no vispārējiem ieņēmumiem</v>
      </c>
      <c r="P13" s="190">
        <f t="shared" si="1"/>
        <v>214368</v>
      </c>
      <c r="Q13" s="178">
        <f>'[5]Marts'!K13</f>
        <v>155589</v>
      </c>
      <c r="R13" s="196">
        <f t="shared" si="5"/>
        <v>58779</v>
      </c>
    </row>
    <row r="14" spans="1:18" s="75" customFormat="1" ht="12.75" customHeight="1">
      <c r="A14" s="63" t="s">
        <v>238</v>
      </c>
      <c r="B14" s="205">
        <v>1433000</v>
      </c>
      <c r="C14" s="205">
        <v>244000</v>
      </c>
      <c r="D14" s="205">
        <v>0</v>
      </c>
      <c r="E14" s="206">
        <f t="shared" si="3"/>
        <v>0</v>
      </c>
      <c r="F14" s="206">
        <v>0</v>
      </c>
      <c r="G14" s="172"/>
      <c r="H14" s="124" t="s">
        <v>238</v>
      </c>
      <c r="I14" s="207">
        <f t="shared" si="2"/>
        <v>1433</v>
      </c>
      <c r="J14" s="207">
        <f>ROUND(C14/1000,0)</f>
        <v>244</v>
      </c>
      <c r="K14" s="201">
        <v>0</v>
      </c>
      <c r="L14" s="56">
        <f>IF(ISERROR(K14/I14)," ",(K14/I14))</f>
        <v>0</v>
      </c>
      <c r="M14" s="56">
        <v>0</v>
      </c>
      <c r="N14" s="204">
        <f>K14-'[5]Marts'!K14</f>
        <v>0</v>
      </c>
      <c r="O14" s="75" t="str">
        <f t="shared" si="0"/>
        <v>   Dotācija īpašiem mērķiem</v>
      </c>
      <c r="P14" s="190">
        <f t="shared" si="1"/>
        <v>0</v>
      </c>
      <c r="Q14" s="178">
        <f>'[5]Marts'!K14</f>
        <v>0</v>
      </c>
      <c r="R14" s="196">
        <f t="shared" si="5"/>
        <v>0</v>
      </c>
    </row>
    <row r="15" spans="1:18" s="75" customFormat="1" ht="12.75" customHeight="1">
      <c r="A15" s="63" t="s">
        <v>239</v>
      </c>
      <c r="B15" s="205">
        <v>59260125</v>
      </c>
      <c r="C15" s="205">
        <v>21105158</v>
      </c>
      <c r="D15" s="209">
        <v>17785747</v>
      </c>
      <c r="E15" s="206">
        <f t="shared" si="3"/>
        <v>0.30013009591188006</v>
      </c>
      <c r="F15" s="206">
        <f t="shared" si="4"/>
        <v>0.8427203909110749</v>
      </c>
      <c r="G15" s="172"/>
      <c r="H15" s="124" t="s">
        <v>239</v>
      </c>
      <c r="I15" s="207">
        <f t="shared" si="2"/>
        <v>59260</v>
      </c>
      <c r="J15" s="207">
        <f>ROUND(C15/1000,0)</f>
        <v>21105</v>
      </c>
      <c r="K15" s="207">
        <f>ROUND(D15/1000,0)</f>
        <v>17786</v>
      </c>
      <c r="L15" s="208">
        <f t="shared" si="6"/>
        <v>0.3001349983125211</v>
      </c>
      <c r="M15" s="208">
        <f aca="true" t="shared" si="7" ref="M15:M20">IF(ISERROR(ROUND(K15,0)/ROUND(J15,0))," ",(ROUND(K15,)/ROUND(J15,)))</f>
        <v>0.842738687514807</v>
      </c>
      <c r="N15" s="204">
        <f>K15-'[5]Marts'!K15</f>
        <v>4186</v>
      </c>
      <c r="O15" s="75" t="str">
        <f t="shared" si="0"/>
        <v>   Maksas pakalpojumi un citi pašu ieņēmumi</v>
      </c>
      <c r="P15" s="190">
        <f t="shared" si="1"/>
        <v>17786</v>
      </c>
      <c r="Q15" s="178">
        <f>'[5]Marts'!K15</f>
        <v>13600</v>
      </c>
      <c r="R15" s="196">
        <f t="shared" si="5"/>
        <v>4186</v>
      </c>
    </row>
    <row r="16" spans="1:18" s="75" customFormat="1" ht="12.75" customHeight="1">
      <c r="A16" s="197" t="s">
        <v>240</v>
      </c>
      <c r="B16" s="210">
        <v>31643057</v>
      </c>
      <c r="C16" s="210">
        <v>5700667</v>
      </c>
      <c r="D16" s="210">
        <v>869769</v>
      </c>
      <c r="E16" s="206">
        <f t="shared" si="3"/>
        <v>0.027486882825512086</v>
      </c>
      <c r="F16" s="206">
        <f t="shared" si="4"/>
        <v>0.15257319889058596</v>
      </c>
      <c r="G16" s="211"/>
      <c r="H16" s="124" t="s">
        <v>241</v>
      </c>
      <c r="I16" s="207">
        <f t="shared" si="2"/>
        <v>31643</v>
      </c>
      <c r="J16" s="207">
        <f>ROUND(C16/1000,0)</f>
        <v>5701</v>
      </c>
      <c r="K16" s="207">
        <f>D16/1000</f>
        <v>869.769</v>
      </c>
      <c r="L16" s="208">
        <f t="shared" si="6"/>
        <v>0.027494232531681574</v>
      </c>
      <c r="M16" s="208">
        <f t="shared" si="7"/>
        <v>0.15260480617435537</v>
      </c>
      <c r="N16" s="204">
        <f>K16-'[5]Marts'!K16</f>
        <v>120.769</v>
      </c>
      <c r="O16" s="75" t="str">
        <f t="shared" si="0"/>
        <v> Ārvalstu finansu palīdzība </v>
      </c>
      <c r="P16" s="190">
        <f t="shared" si="1"/>
        <v>869.769</v>
      </c>
      <c r="Q16" s="178">
        <f>'[5]Marts'!K16</f>
        <v>749</v>
      </c>
      <c r="R16" s="196">
        <f t="shared" si="5"/>
        <v>120.769</v>
      </c>
    </row>
    <row r="17" spans="1:18" s="75" customFormat="1" ht="18" customHeight="1">
      <c r="A17" s="71" t="s">
        <v>242</v>
      </c>
      <c r="B17" s="6">
        <f>SUM(B18,B40)</f>
        <v>759846889</v>
      </c>
      <c r="C17" s="6">
        <f>C18+C40</f>
        <v>241418100</v>
      </c>
      <c r="D17" s="92">
        <f>SUM(D18,D40)</f>
        <v>221534762</v>
      </c>
      <c r="E17" s="192">
        <f t="shared" si="3"/>
        <v>0.2915518444663922</v>
      </c>
      <c r="F17" s="192">
        <f t="shared" si="4"/>
        <v>0.9176394064902341</v>
      </c>
      <c r="G17" s="211"/>
      <c r="H17" s="53" t="s">
        <v>242</v>
      </c>
      <c r="I17" s="212">
        <f>SUM(I18,I40)</f>
        <v>759847</v>
      </c>
      <c r="J17" s="212">
        <f>SUM(J18,J40)</f>
        <v>241418</v>
      </c>
      <c r="K17" s="100">
        <f>SUM(K18,K40)</f>
        <v>221534</v>
      </c>
      <c r="L17" s="194">
        <f t="shared" si="6"/>
        <v>0.2915507990424388</v>
      </c>
      <c r="M17" s="194">
        <f t="shared" si="7"/>
        <v>0.917636630242981</v>
      </c>
      <c r="N17" s="195">
        <f>N18+N40</f>
        <v>60389</v>
      </c>
      <c r="O17" s="75" t="str">
        <f t="shared" si="0"/>
        <v>2. Izdevumi - kopā (2.1.+2.2.)</v>
      </c>
      <c r="P17" s="190">
        <f t="shared" si="1"/>
        <v>221534</v>
      </c>
      <c r="Q17" s="178">
        <f>'[5]Marts'!K17</f>
        <v>161145</v>
      </c>
      <c r="R17" s="196">
        <f t="shared" si="5"/>
        <v>60389</v>
      </c>
    </row>
    <row r="18" spans="1:18" s="75" customFormat="1" ht="18" customHeight="1">
      <c r="A18" s="213" t="s">
        <v>243</v>
      </c>
      <c r="B18" s="214">
        <v>694317503</v>
      </c>
      <c r="C18" s="214">
        <f>C19+C23+C27</f>
        <v>224873639</v>
      </c>
      <c r="D18" s="215">
        <f>SUM(D19,D23,D27)</f>
        <v>210839006</v>
      </c>
      <c r="E18" s="192">
        <f t="shared" si="3"/>
        <v>0.30366367704833735</v>
      </c>
      <c r="F18" s="192">
        <f t="shared" si="4"/>
        <v>0.9375888029276744</v>
      </c>
      <c r="G18" s="211"/>
      <c r="H18" s="160" t="s">
        <v>243</v>
      </c>
      <c r="I18" s="193">
        <f aca="true" t="shared" si="8" ref="I18:J20">ROUND(B18/1000,0)</f>
        <v>694318</v>
      </c>
      <c r="J18" s="193">
        <f t="shared" si="8"/>
        <v>224874</v>
      </c>
      <c r="K18" s="167">
        <f>SUM(K19,K23,K27)</f>
        <v>210838</v>
      </c>
      <c r="L18" s="194">
        <f t="shared" si="6"/>
        <v>0.30366201077892263</v>
      </c>
      <c r="M18" s="194">
        <f t="shared" si="7"/>
        <v>0.9375828241593069</v>
      </c>
      <c r="N18" s="195">
        <f>N19+N23+N27</f>
        <v>56272</v>
      </c>
      <c r="O18" s="75" t="str">
        <f t="shared" si="0"/>
        <v>2.1. Uzturēšanas izdevumi</v>
      </c>
      <c r="P18" s="190">
        <f t="shared" si="1"/>
        <v>210838</v>
      </c>
      <c r="Q18" s="178">
        <f>'[5]Marts'!K18</f>
        <v>154566</v>
      </c>
      <c r="R18" s="196">
        <f t="shared" si="5"/>
        <v>56272</v>
      </c>
    </row>
    <row r="19" spans="1:18" s="75" customFormat="1" ht="18" customHeight="1">
      <c r="A19" s="98" t="s">
        <v>244</v>
      </c>
      <c r="B19" s="214">
        <v>354644600</v>
      </c>
      <c r="C19" s="172">
        <f>C20+C22</f>
        <v>115602907</v>
      </c>
      <c r="D19" s="215">
        <f>D20+D21+D22</f>
        <v>105484997</v>
      </c>
      <c r="E19" s="192">
        <f t="shared" si="3"/>
        <v>0.2974386103721867</v>
      </c>
      <c r="F19" s="192" t="str">
        <f>IF(ISERROR(D19/#REF!)," ",(D19/#REF!))</f>
        <v> </v>
      </c>
      <c r="G19" s="211"/>
      <c r="H19" s="216" t="s">
        <v>244</v>
      </c>
      <c r="I19" s="193">
        <f t="shared" si="8"/>
        <v>354645</v>
      </c>
      <c r="J19" s="193">
        <f>C19/1000</f>
        <v>115602.907</v>
      </c>
      <c r="K19" s="51">
        <f>SUM(K20,K21,K22,)</f>
        <v>105485</v>
      </c>
      <c r="L19" s="194">
        <f t="shared" si="6"/>
        <v>0.2974382833537763</v>
      </c>
      <c r="M19" s="194">
        <f t="shared" si="7"/>
        <v>0.9124763198186898</v>
      </c>
      <c r="N19" s="195">
        <f>N20+N21+N22</f>
        <v>27165</v>
      </c>
      <c r="O19" s="75" t="str">
        <f t="shared" si="0"/>
        <v>Kārtējie izdevumi</v>
      </c>
      <c r="P19" s="190">
        <f t="shared" si="1"/>
        <v>105485</v>
      </c>
      <c r="Q19" s="178">
        <f>'[5]Marts'!K19</f>
        <v>78320</v>
      </c>
      <c r="R19" s="196">
        <f t="shared" si="5"/>
        <v>27165</v>
      </c>
    </row>
    <row r="20" spans="1:18" s="75" customFormat="1" ht="12.75" customHeight="1">
      <c r="A20" s="54" t="s">
        <v>245</v>
      </c>
      <c r="B20" s="172">
        <v>165669282</v>
      </c>
      <c r="C20" s="54">
        <v>52617131</v>
      </c>
      <c r="D20" s="217">
        <v>49546416</v>
      </c>
      <c r="E20" s="206">
        <f t="shared" si="3"/>
        <v>0.299068212295385</v>
      </c>
      <c r="F20" s="206">
        <f>IF(ISERROR(D20/C19)," ",(D20/C19))</f>
        <v>0.42859143671880157</v>
      </c>
      <c r="G20" s="172"/>
      <c r="H20" s="59" t="s">
        <v>245</v>
      </c>
      <c r="I20" s="207">
        <f t="shared" si="8"/>
        <v>165669</v>
      </c>
      <c r="J20" s="218">
        <f>C20/1000</f>
        <v>52617.131</v>
      </c>
      <c r="K20" s="207">
        <f>ROUND(D20/1000,0)</f>
        <v>49546</v>
      </c>
      <c r="L20" s="208">
        <f t="shared" si="6"/>
        <v>0.2990662103350657</v>
      </c>
      <c r="M20" s="208">
        <f t="shared" si="7"/>
        <v>0.9416348328486991</v>
      </c>
      <c r="N20" s="204">
        <f>K20-'[5]Marts'!K20</f>
        <v>12962</v>
      </c>
      <c r="O20" s="75" t="str">
        <f t="shared" si="0"/>
        <v>    atalgojumi</v>
      </c>
      <c r="P20" s="190">
        <f t="shared" si="1"/>
        <v>49546</v>
      </c>
      <c r="Q20" s="178">
        <f>'[5]Marts'!K20</f>
        <v>36584</v>
      </c>
      <c r="R20" s="196">
        <f t="shared" si="5"/>
        <v>12962</v>
      </c>
    </row>
    <row r="21" spans="1:18" s="75" customFormat="1" ht="22.5" customHeight="1">
      <c r="A21" s="63" t="s">
        <v>246</v>
      </c>
      <c r="B21" s="219" t="s">
        <v>9</v>
      </c>
      <c r="C21" s="219" t="s">
        <v>9</v>
      </c>
      <c r="D21" s="217">
        <v>13477702</v>
      </c>
      <c r="E21" s="220" t="s">
        <v>9</v>
      </c>
      <c r="F21" s="221" t="s">
        <v>9</v>
      </c>
      <c r="G21" s="172"/>
      <c r="H21" s="124" t="s">
        <v>246</v>
      </c>
      <c r="I21" s="222" t="s">
        <v>9</v>
      </c>
      <c r="J21" s="222" t="s">
        <v>9</v>
      </c>
      <c r="K21" s="207">
        <f>ROUND(D21/1000,0)</f>
        <v>13478</v>
      </c>
      <c r="L21" s="223" t="s">
        <v>9</v>
      </c>
      <c r="M21" s="224" t="s">
        <v>9</v>
      </c>
      <c r="N21" s="204">
        <f>K21-'[5]Marts'!K21</f>
        <v>3327</v>
      </c>
      <c r="O21" s="178" t="str">
        <f t="shared" si="0"/>
        <v>   valsts sociālās apdrošināšanas obligātās iemaksas</v>
      </c>
      <c r="P21" s="190">
        <f t="shared" si="1"/>
        <v>13478</v>
      </c>
      <c r="Q21" s="178">
        <f>'[5]Marts'!K21</f>
        <v>10151</v>
      </c>
      <c r="R21" s="196">
        <f t="shared" si="5"/>
        <v>3327</v>
      </c>
    </row>
    <row r="22" spans="1:18" s="75" customFormat="1" ht="12.75" customHeight="1">
      <c r="A22" s="63" t="s">
        <v>247</v>
      </c>
      <c r="B22" s="219" t="s">
        <v>9</v>
      </c>
      <c r="C22" s="225">
        <v>62985776</v>
      </c>
      <c r="D22" s="217">
        <f>457+1584941+19703917+20906704+242217+22643</f>
        <v>42460879</v>
      </c>
      <c r="E22" s="220" t="s">
        <v>9</v>
      </c>
      <c r="F22" s="221" t="s">
        <v>9</v>
      </c>
      <c r="G22" s="172"/>
      <c r="H22" s="124" t="s">
        <v>247</v>
      </c>
      <c r="I22" s="222" t="s">
        <v>9</v>
      </c>
      <c r="J22" s="226">
        <f>C22/1000</f>
        <v>62985.776</v>
      </c>
      <c r="K22" s="207">
        <f>ROUND(D22/1000,0)</f>
        <v>42461</v>
      </c>
      <c r="L22" s="223" t="s">
        <v>9</v>
      </c>
      <c r="M22" s="224" t="s">
        <v>9</v>
      </c>
      <c r="N22" s="204">
        <f>K22-'[5]Marts'!K22</f>
        <v>10876</v>
      </c>
      <c r="O22" s="75" t="str">
        <f t="shared" si="0"/>
        <v>    pārējie kārtējie izdevumi</v>
      </c>
      <c r="P22" s="190">
        <f t="shared" si="1"/>
        <v>42461</v>
      </c>
      <c r="Q22" s="178">
        <f>'[5]Marts'!K22</f>
        <v>31585</v>
      </c>
      <c r="R22" s="196">
        <f t="shared" si="5"/>
        <v>10876</v>
      </c>
    </row>
    <row r="23" spans="1:18" s="75" customFormat="1" ht="18.75" customHeight="1">
      <c r="A23" s="71" t="s">
        <v>248</v>
      </c>
      <c r="B23" s="214">
        <v>39335166</v>
      </c>
      <c r="C23" s="214">
        <v>10567105</v>
      </c>
      <c r="D23" s="215">
        <f>SUM(D24,D25,D26)</f>
        <v>9787930</v>
      </c>
      <c r="E23" s="192">
        <f>IF(ISERROR(D23/B23)," ",(D23/B23))</f>
        <v>0.24883408398479875</v>
      </c>
      <c r="F23" s="192">
        <f>IF(ISERROR(D23/C23)," ",(D23/C23))</f>
        <v>0.9262640997699938</v>
      </c>
      <c r="G23" s="172"/>
      <c r="H23" s="53" t="s">
        <v>248</v>
      </c>
      <c r="I23" s="227">
        <f>ROUND(B23/1000,0)</f>
        <v>39335</v>
      </c>
      <c r="J23" s="227">
        <f>ROUND(C23/1000,0)</f>
        <v>10567</v>
      </c>
      <c r="K23" s="51">
        <f>SUM(K24,K25,K26)</f>
        <v>9788</v>
      </c>
      <c r="L23" s="194">
        <f>IF(ISERROR(ROUND(K23,0)/ROUND(I23,0))," ",(ROUND(K23,)/ROUND(I23,)))</f>
        <v>0.2488369136900979</v>
      </c>
      <c r="M23" s="194">
        <f>IF(ISERROR(ROUND(K23,0)/ROUND(J23,0))," ",(ROUND(K23,)/ROUND(J23,)))</f>
        <v>0.9262799280779787</v>
      </c>
      <c r="N23" s="195">
        <f>N24+N25+N26</f>
        <v>3429</v>
      </c>
      <c r="O23" s="75" t="str">
        <f t="shared" si="0"/>
        <v>Maksājumi par aizņēmumiem un kredītiem</v>
      </c>
      <c r="P23" s="190">
        <f t="shared" si="1"/>
        <v>9788</v>
      </c>
      <c r="Q23" s="178">
        <f>'[5]Marts'!K23</f>
        <v>6359</v>
      </c>
      <c r="R23" s="196">
        <f t="shared" si="5"/>
        <v>3429</v>
      </c>
    </row>
    <row r="24" spans="1:18" s="75" customFormat="1" ht="13.5" customHeight="1">
      <c r="A24" s="63" t="s">
        <v>249</v>
      </c>
      <c r="B24" s="219" t="s">
        <v>9</v>
      </c>
      <c r="C24" s="219" t="s">
        <v>9</v>
      </c>
      <c r="D24" s="217">
        <v>5026733</v>
      </c>
      <c r="E24" s="220" t="s">
        <v>9</v>
      </c>
      <c r="F24" s="221" t="s">
        <v>9</v>
      </c>
      <c r="G24" s="172"/>
      <c r="H24" s="124" t="s">
        <v>249</v>
      </c>
      <c r="I24" s="222" t="s">
        <v>9</v>
      </c>
      <c r="J24" s="222" t="s">
        <v>9</v>
      </c>
      <c r="K24" s="207">
        <f>ROUND(D24/1000,0)</f>
        <v>5027</v>
      </c>
      <c r="L24" s="223" t="s">
        <v>9</v>
      </c>
      <c r="M24" s="224" t="s">
        <v>9</v>
      </c>
      <c r="N24" s="204">
        <f>K24-'[5]Marts'!K24</f>
        <v>2345</v>
      </c>
      <c r="O24" s="178" t="str">
        <f t="shared" si="0"/>
        <v>   procentu nomaksa par iekšējiem aizņēmumiem</v>
      </c>
      <c r="P24" s="190">
        <f t="shared" si="1"/>
        <v>5027</v>
      </c>
      <c r="Q24" s="178">
        <f>'[5]Marts'!K24</f>
        <v>2682</v>
      </c>
      <c r="R24" s="196">
        <f t="shared" si="5"/>
        <v>2345</v>
      </c>
    </row>
    <row r="25" spans="1:18" s="75" customFormat="1" ht="14.25" customHeight="1">
      <c r="A25" s="63" t="s">
        <v>250</v>
      </c>
      <c r="B25" s="219" t="s">
        <v>9</v>
      </c>
      <c r="C25" s="219" t="s">
        <v>9</v>
      </c>
      <c r="D25" s="217">
        <v>4479393</v>
      </c>
      <c r="E25" s="220" t="s">
        <v>9</v>
      </c>
      <c r="F25" s="221" t="s">
        <v>9</v>
      </c>
      <c r="G25" s="172"/>
      <c r="H25" s="124" t="s">
        <v>250</v>
      </c>
      <c r="I25" s="222" t="s">
        <v>9</v>
      </c>
      <c r="J25" s="222" t="s">
        <v>9</v>
      </c>
      <c r="K25" s="207">
        <f>ROUND(D25/1000,0)</f>
        <v>4479</v>
      </c>
      <c r="L25" s="223" t="s">
        <v>9</v>
      </c>
      <c r="M25" s="224" t="s">
        <v>9</v>
      </c>
      <c r="N25" s="204">
        <f>K25-'[5]Marts'!K25</f>
        <v>1074</v>
      </c>
      <c r="O25" s="75" t="str">
        <f t="shared" si="0"/>
        <v>    procentu nomaksa ārvalstu institūcijām</v>
      </c>
      <c r="P25" s="190">
        <f t="shared" si="1"/>
        <v>4479</v>
      </c>
      <c r="Q25" s="178">
        <f>'[5]Marts'!K25</f>
        <v>3405</v>
      </c>
      <c r="R25" s="196">
        <f t="shared" si="5"/>
        <v>1074</v>
      </c>
    </row>
    <row r="26" spans="1:18" s="75" customFormat="1" ht="27" customHeight="1">
      <c r="A26" s="63" t="s">
        <v>251</v>
      </c>
      <c r="B26" s="219" t="s">
        <v>9</v>
      </c>
      <c r="C26" s="219" t="s">
        <v>9</v>
      </c>
      <c r="D26" s="217">
        <v>281804</v>
      </c>
      <c r="E26" s="220" t="s">
        <v>9</v>
      </c>
      <c r="F26" s="221" t="s">
        <v>9</v>
      </c>
      <c r="G26" s="172"/>
      <c r="H26" s="124" t="s">
        <v>252</v>
      </c>
      <c r="I26" s="222" t="s">
        <v>9</v>
      </c>
      <c r="J26" s="222" t="s">
        <v>9</v>
      </c>
      <c r="K26" s="207">
        <f>ROUND(D26/1000,0)</f>
        <v>282</v>
      </c>
      <c r="L26" s="223" t="s">
        <v>9</v>
      </c>
      <c r="M26" s="224" t="s">
        <v>9</v>
      </c>
      <c r="N26" s="204">
        <f>K26-'[5]Marts'!K26</f>
        <v>10</v>
      </c>
      <c r="O26" s="178" t="str">
        <f t="shared" si="0"/>
        <v>   Finansu ministrijas maksājumi par valsts     parāda apkalpošanu</v>
      </c>
      <c r="P26" s="190">
        <f t="shared" si="1"/>
        <v>282</v>
      </c>
      <c r="Q26" s="178">
        <f>'[5]Marts'!K26</f>
        <v>272</v>
      </c>
      <c r="R26" s="196">
        <f t="shared" si="5"/>
        <v>10</v>
      </c>
    </row>
    <row r="27" spans="1:18" s="75" customFormat="1" ht="15.75" customHeight="1">
      <c r="A27" s="191" t="s">
        <v>253</v>
      </c>
      <c r="B27" s="214">
        <v>300337737</v>
      </c>
      <c r="C27" s="214">
        <v>98703627</v>
      </c>
      <c r="D27" s="215">
        <f>SUM(D28,D29,D30,D31,D34,D39)</f>
        <v>95566079</v>
      </c>
      <c r="E27" s="192">
        <f>IF(ISERROR(D27/B27)," ",(D27/B27))</f>
        <v>0.3181953754948883</v>
      </c>
      <c r="F27" s="192">
        <f>IF(ISERROR(D27/C27)," ",(D27/C27))</f>
        <v>0.9682124345845974</v>
      </c>
      <c r="G27" s="172"/>
      <c r="H27" s="68" t="s">
        <v>253</v>
      </c>
      <c r="I27" s="227">
        <f>ROUND(B27/1000,0)</f>
        <v>300338</v>
      </c>
      <c r="J27" s="227">
        <f>ROUND(C27/1000,0)</f>
        <v>98704</v>
      </c>
      <c r="K27" s="227">
        <f>SUM(K28,K29,K30,K31,K34,K39)</f>
        <v>95565</v>
      </c>
      <c r="L27" s="194">
        <f>IF(ISERROR(ROUND(K27,0)/ROUND(I27,0))," ",(ROUND(K27,)/ROUND(I27,)))</f>
        <v>0.3181915042385579</v>
      </c>
      <c r="M27" s="194">
        <f>IF(ISERROR(ROUND(K27,0)/ROUND(J27,0))," ",(ROUND(K27,)/ROUND(J27,)))</f>
        <v>0.9681978440590047</v>
      </c>
      <c r="N27" s="195">
        <f>N28+N29+N30+N31+N34+N39</f>
        <v>25678</v>
      </c>
      <c r="O27" s="75" t="str">
        <f t="shared" si="0"/>
        <v>Subsīdijas un dotācijas</v>
      </c>
      <c r="P27" s="190">
        <f t="shared" si="1"/>
        <v>95565</v>
      </c>
      <c r="Q27" s="178">
        <f>'[5]Marts'!K27</f>
        <v>69887</v>
      </c>
      <c r="R27" s="196">
        <f t="shared" si="5"/>
        <v>25678</v>
      </c>
    </row>
    <row r="28" spans="1:18" s="75" customFormat="1" ht="13.5" customHeight="1">
      <c r="A28" s="54" t="s">
        <v>254</v>
      </c>
      <c r="B28" s="219" t="s">
        <v>9</v>
      </c>
      <c r="C28" s="219" t="s">
        <v>9</v>
      </c>
      <c r="D28" s="217">
        <f>4397932+1018211-9121</f>
        <v>5407022</v>
      </c>
      <c r="E28" s="220" t="s">
        <v>9</v>
      </c>
      <c r="F28" s="221" t="s">
        <v>9</v>
      </c>
      <c r="G28" s="172"/>
      <c r="H28" s="59" t="s">
        <v>254</v>
      </c>
      <c r="I28" s="222" t="s">
        <v>9</v>
      </c>
      <c r="J28" s="222" t="s">
        <v>9</v>
      </c>
      <c r="K28" s="228">
        <f aca="true" t="shared" si="9" ref="K28:K33">ROUND(D28/1000,0)</f>
        <v>5407</v>
      </c>
      <c r="L28" s="223" t="s">
        <v>9</v>
      </c>
      <c r="M28" s="224" t="s">
        <v>9</v>
      </c>
      <c r="N28" s="204">
        <f>K28-'[5]Marts'!K28</f>
        <v>1865</v>
      </c>
      <c r="O28" s="75" t="str">
        <f t="shared" si="0"/>
        <v>    subsīdijas</v>
      </c>
      <c r="P28" s="190">
        <f t="shared" si="1"/>
        <v>5407</v>
      </c>
      <c r="Q28" s="178">
        <f>'[5]Marts'!K28</f>
        <v>3542</v>
      </c>
      <c r="R28" s="196">
        <f t="shared" si="5"/>
        <v>1865</v>
      </c>
    </row>
    <row r="29" spans="1:18" s="75" customFormat="1" ht="13.5" customHeight="1">
      <c r="A29" s="63" t="s">
        <v>255</v>
      </c>
      <c r="B29" s="219" t="s">
        <v>9</v>
      </c>
      <c r="C29" s="219" t="s">
        <v>9</v>
      </c>
      <c r="D29" s="217">
        <v>29588300</v>
      </c>
      <c r="E29" s="220" t="s">
        <v>9</v>
      </c>
      <c r="F29" s="221" t="s">
        <v>9</v>
      </c>
      <c r="G29" s="172"/>
      <c r="H29" s="124" t="s">
        <v>255</v>
      </c>
      <c r="I29" s="222" t="s">
        <v>9</v>
      </c>
      <c r="J29" s="222" t="s">
        <v>9</v>
      </c>
      <c r="K29" s="207">
        <f t="shared" si="9"/>
        <v>29588</v>
      </c>
      <c r="L29" s="223" t="s">
        <v>9</v>
      </c>
      <c r="M29" s="224" t="s">
        <v>9</v>
      </c>
      <c r="N29" s="204">
        <f>K29-'[5]Marts'!K29</f>
        <v>7754</v>
      </c>
      <c r="O29" s="75" t="str">
        <f t="shared" si="0"/>
        <v>    mērķdotācijas pašvaldību budžetiem</v>
      </c>
      <c r="P29" s="190">
        <f t="shared" si="1"/>
        <v>29588</v>
      </c>
      <c r="Q29" s="178">
        <f>'[5]Marts'!K29</f>
        <v>21834</v>
      </c>
      <c r="R29" s="196">
        <f t="shared" si="5"/>
        <v>7754</v>
      </c>
    </row>
    <row r="30" spans="1:18" s="75" customFormat="1" ht="13.5" customHeight="1">
      <c r="A30" s="63" t="s">
        <v>256</v>
      </c>
      <c r="B30" s="219" t="s">
        <v>9</v>
      </c>
      <c r="C30" s="219" t="s">
        <v>9</v>
      </c>
      <c r="D30" s="217">
        <v>2462080</v>
      </c>
      <c r="E30" s="220" t="s">
        <v>9</v>
      </c>
      <c r="F30" s="221" t="s">
        <v>9</v>
      </c>
      <c r="G30" s="172"/>
      <c r="H30" s="124" t="s">
        <v>256</v>
      </c>
      <c r="I30" s="222" t="s">
        <v>9</v>
      </c>
      <c r="J30" s="222" t="s">
        <v>9</v>
      </c>
      <c r="K30" s="207">
        <f t="shared" si="9"/>
        <v>2462</v>
      </c>
      <c r="L30" s="223" t="s">
        <v>9</v>
      </c>
      <c r="M30" s="224" t="s">
        <v>9</v>
      </c>
      <c r="N30" s="204">
        <f>K30-'[5]Marts'!K30</f>
        <v>598</v>
      </c>
      <c r="O30" s="75" t="str">
        <f t="shared" si="0"/>
        <v>    dotācijas pašvaldību budžetiem</v>
      </c>
      <c r="P30" s="190">
        <f t="shared" si="1"/>
        <v>2462</v>
      </c>
      <c r="Q30" s="178">
        <f>'[5]Marts'!K30</f>
        <v>1864</v>
      </c>
      <c r="R30" s="196">
        <f t="shared" si="5"/>
        <v>598</v>
      </c>
    </row>
    <row r="31" spans="1:18" s="75" customFormat="1" ht="13.5" customHeight="1">
      <c r="A31" s="63" t="s">
        <v>257</v>
      </c>
      <c r="B31" s="225">
        <v>33184406</v>
      </c>
      <c r="C31" s="225">
        <v>11797973</v>
      </c>
      <c r="D31" s="217">
        <f>D32+D33</f>
        <v>32694752</v>
      </c>
      <c r="E31" s="220" t="s">
        <v>9</v>
      </c>
      <c r="F31" s="221" t="s">
        <v>9</v>
      </c>
      <c r="G31" s="172"/>
      <c r="H31" s="124" t="s">
        <v>257</v>
      </c>
      <c r="I31" s="222" t="s">
        <v>9</v>
      </c>
      <c r="J31" s="226">
        <f>ROUND(C31/1000,0)</f>
        <v>11798</v>
      </c>
      <c r="K31" s="207">
        <f t="shared" si="9"/>
        <v>32695</v>
      </c>
      <c r="L31" s="223" t="s">
        <v>9</v>
      </c>
      <c r="M31" s="224" t="s">
        <v>9</v>
      </c>
      <c r="N31" s="204">
        <f>K31-'[5]Marts'!K31</f>
        <v>9479</v>
      </c>
      <c r="O31" s="75" t="str">
        <f t="shared" si="0"/>
        <v>    dotācijas iestādēm un organizācijām</v>
      </c>
      <c r="P31" s="190">
        <f t="shared" si="1"/>
        <v>32695</v>
      </c>
      <c r="Q31" s="178">
        <f>'[5]Marts'!K31</f>
        <v>23216</v>
      </c>
      <c r="R31" s="196">
        <f t="shared" si="5"/>
        <v>9479</v>
      </c>
    </row>
    <row r="32" spans="1:18" s="239" customFormat="1" ht="13.5" customHeight="1">
      <c r="A32" s="229" t="s">
        <v>258</v>
      </c>
      <c r="B32" s="230" t="s">
        <v>9</v>
      </c>
      <c r="C32" s="230" t="s">
        <v>9</v>
      </c>
      <c r="D32" s="231">
        <f>21107160+82836</f>
        <v>21189996</v>
      </c>
      <c r="E32" s="232" t="s">
        <v>9</v>
      </c>
      <c r="F32" s="233" t="s">
        <v>9</v>
      </c>
      <c r="G32" s="172"/>
      <c r="H32" s="234" t="s">
        <v>259</v>
      </c>
      <c r="I32" s="235" t="s">
        <v>9</v>
      </c>
      <c r="J32" s="235" t="s">
        <v>9</v>
      </c>
      <c r="K32" s="236">
        <f>D32/1000</f>
        <v>21189.996</v>
      </c>
      <c r="L32" s="237" t="s">
        <v>9</v>
      </c>
      <c r="M32" s="238" t="s">
        <v>9</v>
      </c>
      <c r="N32" s="204">
        <f>K32-'[5]Marts'!K32</f>
        <v>6712.995999999999</v>
      </c>
      <c r="O32" s="75" t="str">
        <f t="shared" si="0"/>
        <v>                 t.sk.speciālajam budžetam</v>
      </c>
      <c r="P32" s="190">
        <f t="shared" si="1"/>
        <v>21189.996</v>
      </c>
      <c r="Q32" s="178">
        <f>'[5]Marts'!K32</f>
        <v>14477</v>
      </c>
      <c r="R32" s="196">
        <f t="shared" si="5"/>
        <v>6712.995999999999</v>
      </c>
    </row>
    <row r="33" spans="1:18" s="239" customFormat="1" ht="13.5" customHeight="1">
      <c r="A33" s="229" t="s">
        <v>260</v>
      </c>
      <c r="B33" s="230" t="s">
        <v>9</v>
      </c>
      <c r="C33" s="230" t="s">
        <v>9</v>
      </c>
      <c r="D33" s="231">
        <f>11587592-82836</f>
        <v>11504756</v>
      </c>
      <c r="E33" s="232" t="s">
        <v>9</v>
      </c>
      <c r="F33" s="233" t="s">
        <v>9</v>
      </c>
      <c r="G33" s="172"/>
      <c r="H33" s="128" t="s">
        <v>261</v>
      </c>
      <c r="I33" s="235" t="s">
        <v>9</v>
      </c>
      <c r="J33" s="235" t="s">
        <v>9</v>
      </c>
      <c r="K33" s="236">
        <f t="shared" si="9"/>
        <v>11505</v>
      </c>
      <c r="L33" s="237" t="s">
        <v>9</v>
      </c>
      <c r="M33" s="238" t="s">
        <v>9</v>
      </c>
      <c r="N33" s="204">
        <f>K33-'[5]Marts'!K33</f>
        <v>2703</v>
      </c>
      <c r="O33" s="75" t="str">
        <f t="shared" si="0"/>
        <v>           pārējiem</v>
      </c>
      <c r="P33" s="190">
        <f t="shared" si="1"/>
        <v>11505</v>
      </c>
      <c r="Q33" s="178">
        <f>'[5]Marts'!K33</f>
        <v>8802</v>
      </c>
      <c r="R33" s="196">
        <f t="shared" si="5"/>
        <v>2703</v>
      </c>
    </row>
    <row r="34" spans="1:18" ht="13.5" customHeight="1">
      <c r="A34" s="63" t="s">
        <v>262</v>
      </c>
      <c r="B34" s="225">
        <v>72148552</v>
      </c>
      <c r="C34" s="225">
        <v>24551015</v>
      </c>
      <c r="D34" s="217">
        <v>24120534</v>
      </c>
      <c r="E34" s="220" t="s">
        <v>9</v>
      </c>
      <c r="F34" s="221" t="s">
        <v>9</v>
      </c>
      <c r="G34" s="172"/>
      <c r="H34" s="124" t="s">
        <v>262</v>
      </c>
      <c r="I34" s="222" t="s">
        <v>9</v>
      </c>
      <c r="J34" s="226">
        <f>ROUND(C34/1000,0)</f>
        <v>24551</v>
      </c>
      <c r="K34" s="203">
        <f>SUM(K35,K36,K37,K38)</f>
        <v>24120</v>
      </c>
      <c r="L34" s="223" t="s">
        <v>9</v>
      </c>
      <c r="M34" s="224" t="s">
        <v>9</v>
      </c>
      <c r="N34" s="204">
        <f>N35+N36+N37+N38</f>
        <v>5927</v>
      </c>
      <c r="O34" s="75" t="str">
        <f t="shared" si="0"/>
        <v>     dotācijas iedzīvotājiem</v>
      </c>
      <c r="P34" s="190">
        <f t="shared" si="1"/>
        <v>24120</v>
      </c>
      <c r="Q34" s="178">
        <f>'[5]Marts'!K34</f>
        <v>18193</v>
      </c>
      <c r="R34" s="196">
        <f t="shared" si="5"/>
        <v>5927</v>
      </c>
    </row>
    <row r="35" spans="1:18" s="241" customFormat="1" ht="13.5" customHeight="1">
      <c r="A35" s="229" t="s">
        <v>263</v>
      </c>
      <c r="B35" s="230" t="s">
        <v>9</v>
      </c>
      <c r="C35" s="230" t="s">
        <v>9</v>
      </c>
      <c r="D35" s="240">
        <v>380191</v>
      </c>
      <c r="E35" s="232" t="s">
        <v>9</v>
      </c>
      <c r="F35" s="233" t="s">
        <v>9</v>
      </c>
      <c r="G35" s="172"/>
      <c r="H35" s="234" t="s">
        <v>264</v>
      </c>
      <c r="I35" s="235" t="s">
        <v>9</v>
      </c>
      <c r="J35" s="235" t="s">
        <v>9</v>
      </c>
      <c r="K35" s="236">
        <f>ROUND(D35/1000,0)</f>
        <v>380</v>
      </c>
      <c r="L35" s="237" t="s">
        <v>9</v>
      </c>
      <c r="M35" s="238" t="s">
        <v>9</v>
      </c>
      <c r="N35" s="204">
        <f>K35-'[5]Marts'!K35</f>
        <v>114</v>
      </c>
      <c r="O35" s="75" t="str">
        <f t="shared" si="0"/>
        <v>                 t.sk.        pensijas </v>
      </c>
      <c r="P35" s="190">
        <f t="shared" si="1"/>
        <v>380</v>
      </c>
      <c r="Q35" s="178">
        <f>'[5]Marts'!K35</f>
        <v>266</v>
      </c>
      <c r="R35" s="196">
        <f t="shared" si="5"/>
        <v>114</v>
      </c>
    </row>
    <row r="36" spans="1:18" s="241" customFormat="1" ht="13.5" customHeight="1">
      <c r="A36" s="229" t="s">
        <v>265</v>
      </c>
      <c r="B36" s="230" t="s">
        <v>9</v>
      </c>
      <c r="C36" s="230" t="s">
        <v>9</v>
      </c>
      <c r="D36" s="240">
        <v>17833467</v>
      </c>
      <c r="E36" s="232" t="s">
        <v>9</v>
      </c>
      <c r="F36" s="233" t="s">
        <v>9</v>
      </c>
      <c r="G36" s="172"/>
      <c r="H36" s="128" t="s">
        <v>266</v>
      </c>
      <c r="I36" s="235" t="s">
        <v>9</v>
      </c>
      <c r="J36" s="235" t="s">
        <v>9</v>
      </c>
      <c r="K36" s="236">
        <f>ROUND(D36/1000,0)</f>
        <v>17833</v>
      </c>
      <c r="L36" s="237" t="s">
        <v>9</v>
      </c>
      <c r="M36" s="238" t="s">
        <v>9</v>
      </c>
      <c r="N36" s="204">
        <f>K36-'[5]Marts'!K36</f>
        <v>4435</v>
      </c>
      <c r="O36" s="75" t="str">
        <f t="shared" si="0"/>
        <v>         pabalsti</v>
      </c>
      <c r="P36" s="190">
        <f t="shared" si="1"/>
        <v>17833</v>
      </c>
      <c r="Q36" s="178">
        <f>'[5]Marts'!K36</f>
        <v>13398</v>
      </c>
      <c r="R36" s="196">
        <f t="shared" si="5"/>
        <v>4435</v>
      </c>
    </row>
    <row r="37" spans="1:18" s="241" customFormat="1" ht="13.5" customHeight="1">
      <c r="A37" s="229" t="s">
        <v>267</v>
      </c>
      <c r="B37" s="230" t="s">
        <v>9</v>
      </c>
      <c r="C37" s="230" t="s">
        <v>9</v>
      </c>
      <c r="D37" s="240">
        <v>2398715</v>
      </c>
      <c r="E37" s="232" t="s">
        <v>9</v>
      </c>
      <c r="F37" s="233" t="s">
        <v>9</v>
      </c>
      <c r="G37" s="172"/>
      <c r="H37" s="128" t="s">
        <v>268</v>
      </c>
      <c r="I37" s="235" t="s">
        <v>9</v>
      </c>
      <c r="J37" s="235" t="s">
        <v>9</v>
      </c>
      <c r="K37" s="236">
        <f>ROUND(D37/1000,0)</f>
        <v>2399</v>
      </c>
      <c r="L37" s="237" t="s">
        <v>9</v>
      </c>
      <c r="M37" s="238" t="s">
        <v>9</v>
      </c>
      <c r="N37" s="204">
        <f>K37-'[5]Marts'!K37</f>
        <v>619</v>
      </c>
      <c r="O37" s="75" t="str">
        <f t="shared" si="0"/>
        <v>            stipendijas</v>
      </c>
      <c r="P37" s="190">
        <f t="shared" si="1"/>
        <v>2399</v>
      </c>
      <c r="Q37" s="178">
        <f>'[5]Marts'!K37</f>
        <v>1780</v>
      </c>
      <c r="R37" s="196">
        <f t="shared" si="5"/>
        <v>619</v>
      </c>
    </row>
    <row r="38" spans="1:18" s="241" customFormat="1" ht="13.5" customHeight="1">
      <c r="A38" s="229" t="s">
        <v>269</v>
      </c>
      <c r="B38" s="230" t="s">
        <v>9</v>
      </c>
      <c r="C38" s="230" t="s">
        <v>9</v>
      </c>
      <c r="D38" s="240">
        <v>3508161</v>
      </c>
      <c r="E38" s="232" t="s">
        <v>9</v>
      </c>
      <c r="F38" s="233" t="s">
        <v>9</v>
      </c>
      <c r="G38" s="172"/>
      <c r="H38" s="128" t="s">
        <v>270</v>
      </c>
      <c r="I38" s="235" t="s">
        <v>9</v>
      </c>
      <c r="J38" s="235" t="s">
        <v>9</v>
      </c>
      <c r="K38" s="236">
        <f>ROUND(D38/1000,0)</f>
        <v>3508</v>
      </c>
      <c r="L38" s="237" t="s">
        <v>9</v>
      </c>
      <c r="M38" s="238" t="s">
        <v>9</v>
      </c>
      <c r="N38" s="204">
        <f>K38-'[5]Marts'!K38</f>
        <v>759</v>
      </c>
      <c r="O38" s="75" t="str">
        <f t="shared" si="0"/>
        <v>      pārējie</v>
      </c>
      <c r="P38" s="190">
        <f t="shared" si="1"/>
        <v>3508</v>
      </c>
      <c r="Q38" s="178">
        <f>'[5]Marts'!K38</f>
        <v>2749</v>
      </c>
      <c r="R38" s="196">
        <f t="shared" si="5"/>
        <v>759</v>
      </c>
    </row>
    <row r="39" spans="1:18" ht="13.5" customHeight="1">
      <c r="A39" s="63" t="s">
        <v>271</v>
      </c>
      <c r="B39" s="172">
        <v>5151122</v>
      </c>
      <c r="C39" s="172">
        <v>1983769</v>
      </c>
      <c r="D39" s="217">
        <v>1293391</v>
      </c>
      <c r="E39" s="192">
        <f>IF(ISERROR(D39/B39)," ",(D39/B39))</f>
        <v>0.25108918018249227</v>
      </c>
      <c r="F39" s="192">
        <f>IF(ISERROR(D39/C39)," ",(D39/C39))</f>
        <v>0.6519866980480086</v>
      </c>
      <c r="G39" s="172"/>
      <c r="H39" s="124" t="s">
        <v>271</v>
      </c>
      <c r="I39" s="226">
        <f>ROUND(B39/1000,0)</f>
        <v>5151</v>
      </c>
      <c r="J39" s="226">
        <f>ROUND(C39/1000,0)</f>
        <v>1984</v>
      </c>
      <c r="K39" s="207">
        <f>ROUND(D39/1000,0)</f>
        <v>1293</v>
      </c>
      <c r="L39" s="208">
        <f>IF(ISERROR(ROUND(K39,0)/ROUND(I39,0))," ",(ROUND(K39,)/ROUND(I39,)))</f>
        <v>0.25101921956901574</v>
      </c>
      <c r="M39" s="208">
        <f>IF(ISERROR(ROUND(K39,0)/ROUND(J39,0))," ",(ROUND(K39,)/ROUND(J39,)))</f>
        <v>0.6517137096774194</v>
      </c>
      <c r="N39" s="204">
        <f>K39-'[5]Marts'!K39</f>
        <v>55</v>
      </c>
      <c r="O39" s="75" t="str">
        <f t="shared" si="0"/>
        <v>   iemaksas starptautiskajās organizācijās</v>
      </c>
      <c r="P39" s="190">
        <f t="shared" si="1"/>
        <v>1293</v>
      </c>
      <c r="Q39" s="178">
        <f>'[5]Marts'!K39</f>
        <v>1238</v>
      </c>
      <c r="R39" s="196">
        <f t="shared" si="5"/>
        <v>55</v>
      </c>
    </row>
    <row r="40" spans="1:18" ht="15.75" customHeight="1">
      <c r="A40" s="91" t="s">
        <v>272</v>
      </c>
      <c r="B40" s="214">
        <f>B41+B42</f>
        <v>65529386</v>
      </c>
      <c r="C40" s="214">
        <f>C41+C42</f>
        <v>16544461</v>
      </c>
      <c r="D40" s="215">
        <f>SUM(D41:D42)</f>
        <v>10695756</v>
      </c>
      <c r="E40" s="192">
        <f>IF(ISERROR(D40/B40)," ",(D40/B40))</f>
        <v>0.16322075717297274</v>
      </c>
      <c r="F40" s="192">
        <f>IF(ISERROR(D40/C40)," ",(D40/C40))</f>
        <v>0.6464856123145988</v>
      </c>
      <c r="G40" s="172"/>
      <c r="H40" s="242" t="s">
        <v>272</v>
      </c>
      <c r="I40" s="51">
        <f>SUM(I41:I42)</f>
        <v>65529</v>
      </c>
      <c r="J40" s="243">
        <f>ROUND(C40/1000,0)</f>
        <v>16544</v>
      </c>
      <c r="K40" s="51">
        <f>SUM(K41:K42)</f>
        <v>10696</v>
      </c>
      <c r="L40" s="194">
        <f>IF(ISERROR(ROUND(K40,0)/ROUND(I40,0))," ",(ROUND(K40,)/ROUND(I40,)))</f>
        <v>0.163225442170642</v>
      </c>
      <c r="M40" s="194">
        <f>IF(ISERROR(ROUND(K40,0)/ROUND(J40,0))," ",(ROUND(K40,)/ROUND(J40,)))</f>
        <v>0.6465183752417795</v>
      </c>
      <c r="N40" s="195">
        <f>K40-'[5]Marts'!K40</f>
        <v>4117</v>
      </c>
      <c r="O40" s="75" t="str">
        <f t="shared" si="0"/>
        <v>2.2.Izdevumi kapitālieguldījumiem</v>
      </c>
      <c r="P40" s="190">
        <f t="shared" si="1"/>
        <v>10696</v>
      </c>
      <c r="Q40" s="178">
        <f>'[5]Marts'!K40</f>
        <v>6579</v>
      </c>
      <c r="R40" s="196">
        <f t="shared" si="5"/>
        <v>4117</v>
      </c>
    </row>
    <row r="41" spans="1:18" ht="13.5" customHeight="1">
      <c r="A41" s="244" t="s">
        <v>273</v>
      </c>
      <c r="B41" s="172">
        <v>24236583</v>
      </c>
      <c r="C41" s="172">
        <v>6092850</v>
      </c>
      <c r="D41" s="217">
        <f>1729445+711+18248+3814+17000+773376</f>
        <v>2542594</v>
      </c>
      <c r="E41" s="192" t="str">
        <f>IF(ISERROR(#REF!/B41)," ",(#REF!/B41))</f>
        <v> </v>
      </c>
      <c r="F41" s="192" t="str">
        <f>IF(ISERROR(#REF!/C41)," ",(#REF!/C41))</f>
        <v> </v>
      </c>
      <c r="G41" s="172"/>
      <c r="H41" s="245" t="s">
        <v>274</v>
      </c>
      <c r="I41" s="246">
        <f>ROUND(B41/1000,0)</f>
        <v>24237</v>
      </c>
      <c r="J41" s="226">
        <f>ROUND(C41/1000,0)</f>
        <v>6093</v>
      </c>
      <c r="K41" s="207">
        <f>ROUND(D41/1000,0)</f>
        <v>2543</v>
      </c>
      <c r="L41" s="208">
        <f>IF(ISERROR(ROUND(K41,0)/ROUND(I41,0))," ",(ROUND(K41,)/ROUND(I41,)))</f>
        <v>0.1049222263481454</v>
      </c>
      <c r="M41" s="208">
        <f>IF(ISERROR(ROUND(K41,0)/ROUND(J41,0))," ",(ROUND(K41,)/ROUND(J41,)))</f>
        <v>0.4173641884129329</v>
      </c>
      <c r="N41" s="204">
        <f>K41-'[5]Marts'!K41</f>
        <v>938</v>
      </c>
      <c r="O41" s="75" t="str">
        <f t="shared" si="0"/>
        <v>Kapitālie izdevumi</v>
      </c>
      <c r="P41" s="190">
        <f t="shared" si="1"/>
        <v>2543</v>
      </c>
      <c r="Q41" s="178">
        <f>'[5]Marts'!K41</f>
        <v>1605</v>
      </c>
      <c r="R41" s="196">
        <f t="shared" si="5"/>
        <v>938</v>
      </c>
    </row>
    <row r="42" spans="1:18" ht="13.5" customHeight="1">
      <c r="A42" s="63" t="s">
        <v>275</v>
      </c>
      <c r="B42" s="172">
        <v>41292803</v>
      </c>
      <c r="C42" s="172">
        <v>10451611</v>
      </c>
      <c r="D42" s="217">
        <f>7712968+8594+431600</f>
        <v>8153162</v>
      </c>
      <c r="E42" s="192">
        <f>IF(ISERROR(D41/B42)," ",(D41/B42))</f>
        <v>0.061574749478740885</v>
      </c>
      <c r="F42" s="192">
        <f>IF(ISERROR(D41/C42)," ",(D41/C42))</f>
        <v>0.24327292701574907</v>
      </c>
      <c r="G42" s="172"/>
      <c r="H42" s="124" t="s">
        <v>276</v>
      </c>
      <c r="I42" s="246">
        <f>ROUND(B42/1000,0)-1</f>
        <v>41292</v>
      </c>
      <c r="J42" s="226">
        <f>ROUND(C42/1000,0)</f>
        <v>10452</v>
      </c>
      <c r="K42" s="207">
        <f>ROUND(D42/1000,0)</f>
        <v>8153</v>
      </c>
      <c r="L42" s="208">
        <f>IF(ISERROR(ROUND(K42,0)/ROUND(I42,0))," ",(ROUND(K42,)/ROUND(I42,)))</f>
        <v>0.19744744744744744</v>
      </c>
      <c r="M42" s="208">
        <f>IF(ISERROR(ROUND(K42,0)/ROUND(J42,0))," ",(ROUND(K42,)/ROUND(J42,)))</f>
        <v>0.7800420972062763</v>
      </c>
      <c r="N42" s="204">
        <f>K42-'[5]Marts'!K42</f>
        <v>3179</v>
      </c>
      <c r="O42" s="75" t="str">
        <f t="shared" si="0"/>
        <v>Investīcijas</v>
      </c>
      <c r="P42" s="190">
        <f t="shared" si="1"/>
        <v>8153</v>
      </c>
      <c r="Q42" s="178">
        <f>'[5]Marts'!K42</f>
        <v>4974</v>
      </c>
      <c r="R42" s="196">
        <f t="shared" si="5"/>
        <v>3179</v>
      </c>
    </row>
    <row r="43" spans="1:18" ht="13.5" customHeight="1">
      <c r="A43" s="63" t="s">
        <v>277</v>
      </c>
      <c r="B43" s="219" t="s">
        <v>9</v>
      </c>
      <c r="C43" s="219" t="s">
        <v>9</v>
      </c>
      <c r="D43" s="240">
        <f>180000+431600</f>
        <v>611600</v>
      </c>
      <c r="E43" s="247" t="s">
        <v>9</v>
      </c>
      <c r="F43" s="247" t="s">
        <v>9</v>
      </c>
      <c r="G43" s="172"/>
      <c r="H43" s="124" t="s">
        <v>277</v>
      </c>
      <c r="I43" s="18" t="s">
        <v>9</v>
      </c>
      <c r="J43" s="18" t="s">
        <v>9</v>
      </c>
      <c r="K43" s="207">
        <f>ROUND(D43/1000,0)-1</f>
        <v>611</v>
      </c>
      <c r="L43" s="248" t="s">
        <v>9</v>
      </c>
      <c r="M43" s="248" t="s">
        <v>9</v>
      </c>
      <c r="N43" s="204">
        <f>K43-'[5]Marts'!K43</f>
        <v>523</v>
      </c>
      <c r="O43" s="75" t="str">
        <f t="shared" si="0"/>
        <v>t.sk. speciālajam budžetam</v>
      </c>
      <c r="P43" s="190">
        <f t="shared" si="1"/>
        <v>611</v>
      </c>
      <c r="Q43" s="178">
        <f>'[5]Marts'!K43</f>
        <v>88</v>
      </c>
      <c r="R43" s="196">
        <f t="shared" si="5"/>
        <v>523</v>
      </c>
    </row>
    <row r="44" spans="1:18" ht="13.5" customHeight="1">
      <c r="A44" s="63" t="s">
        <v>278</v>
      </c>
      <c r="B44" s="219" t="s">
        <v>279</v>
      </c>
      <c r="C44" s="219" t="s">
        <v>279</v>
      </c>
      <c r="D44" s="240">
        <v>833036</v>
      </c>
      <c r="E44" s="247" t="s">
        <v>9</v>
      </c>
      <c r="F44" s="247" t="s">
        <v>9</v>
      </c>
      <c r="G44" s="172"/>
      <c r="H44" s="124" t="s">
        <v>278</v>
      </c>
      <c r="I44" s="18" t="s">
        <v>9</v>
      </c>
      <c r="J44" s="18" t="s">
        <v>9</v>
      </c>
      <c r="K44" s="207">
        <f>ROUND(D44/1000,0)</f>
        <v>833</v>
      </c>
      <c r="L44" s="248" t="s">
        <v>9</v>
      </c>
      <c r="M44" s="248" t="s">
        <v>9</v>
      </c>
      <c r="N44" s="204">
        <f>K44-'[5]Marts'!K44</f>
        <v>293</v>
      </c>
      <c r="O44" s="75" t="str">
        <f t="shared" si="0"/>
        <v>t.sk. pašvaldību budžetam</v>
      </c>
      <c r="P44" s="190">
        <f t="shared" si="1"/>
        <v>833</v>
      </c>
      <c r="Q44" s="178">
        <f>'[5]Marts'!K44</f>
        <v>540</v>
      </c>
      <c r="R44" s="196">
        <f t="shared" si="5"/>
        <v>293</v>
      </c>
    </row>
    <row r="45" spans="1:18" ht="18" customHeight="1">
      <c r="A45" s="71" t="s">
        <v>280</v>
      </c>
      <c r="B45" s="249">
        <v>55987963</v>
      </c>
      <c r="C45" s="219" t="s">
        <v>9</v>
      </c>
      <c r="D45" s="250">
        <f>SUM(D46-D48)</f>
        <v>23173587</v>
      </c>
      <c r="E45" s="220" t="s">
        <v>9</v>
      </c>
      <c r="F45" s="221" t="s">
        <v>9</v>
      </c>
      <c r="G45" s="172"/>
      <c r="H45" s="53" t="s">
        <v>280</v>
      </c>
      <c r="I45" s="227">
        <v>55987</v>
      </c>
      <c r="J45" s="251" t="s">
        <v>9</v>
      </c>
      <c r="K45" s="193">
        <f>K46-K48</f>
        <v>23173.586999999996</v>
      </c>
      <c r="L45" s="252" t="s">
        <v>9</v>
      </c>
      <c r="M45" s="253" t="s">
        <v>9</v>
      </c>
      <c r="N45" s="195">
        <f>K45-'[5]Marts'!K45</f>
        <v>4716.586999999996</v>
      </c>
      <c r="O45" s="75" t="str">
        <f t="shared" si="0"/>
        <v>3. Valsts budžeta tīrie aizdevumi (3.1.-3.2.)</v>
      </c>
      <c r="P45" s="190">
        <f t="shared" si="1"/>
        <v>23173.586999999996</v>
      </c>
      <c r="Q45" s="178">
        <f>'[5]Marts'!K45</f>
        <v>18457</v>
      </c>
      <c r="R45" s="196">
        <f t="shared" si="5"/>
        <v>4716.586999999996</v>
      </c>
    </row>
    <row r="46" spans="1:18" ht="13.5" customHeight="1">
      <c r="A46" s="54" t="s">
        <v>281</v>
      </c>
      <c r="B46" s="217">
        <v>73631361</v>
      </c>
      <c r="C46" s="219" t="s">
        <v>9</v>
      </c>
      <c r="D46" s="254">
        <v>35875037</v>
      </c>
      <c r="E46" s="192"/>
      <c r="F46" s="192"/>
      <c r="G46" s="172"/>
      <c r="H46" s="59" t="s">
        <v>281</v>
      </c>
      <c r="I46" s="255"/>
      <c r="J46" s="88" t="s">
        <v>9</v>
      </c>
      <c r="K46" s="207">
        <f>D46/1000</f>
        <v>35875.037</v>
      </c>
      <c r="L46" s="223" t="s">
        <v>9</v>
      </c>
      <c r="M46" s="224" t="s">
        <v>9</v>
      </c>
      <c r="N46" s="204">
        <f>K46-'[5]Marts'!K46</f>
        <v>6758.036999999997</v>
      </c>
      <c r="O46" s="75" t="str">
        <f t="shared" si="0"/>
        <v>3.1.Valsts budžeta aizdevumi</v>
      </c>
      <c r="P46" s="190">
        <f t="shared" si="1"/>
        <v>35875.037</v>
      </c>
      <c r="Q46" s="178">
        <f>'[5]Marts'!K46</f>
        <v>29117</v>
      </c>
      <c r="R46" s="196">
        <f t="shared" si="5"/>
        <v>6758.036999999997</v>
      </c>
    </row>
    <row r="47" spans="1:18" ht="13.5" customHeight="1">
      <c r="A47" s="54" t="s">
        <v>282</v>
      </c>
      <c r="B47" s="217">
        <v>48228571</v>
      </c>
      <c r="C47" s="219" t="s">
        <v>9</v>
      </c>
      <c r="D47" s="254">
        <v>30267946</v>
      </c>
      <c r="E47" s="192"/>
      <c r="F47" s="192"/>
      <c r="G47" s="172"/>
      <c r="H47" s="59" t="s">
        <v>282</v>
      </c>
      <c r="I47" s="255"/>
      <c r="J47" s="88" t="s">
        <v>9</v>
      </c>
      <c r="K47" s="207">
        <f>D47/1000</f>
        <v>30267.946</v>
      </c>
      <c r="L47" s="223" t="s">
        <v>9</v>
      </c>
      <c r="M47" s="224" t="s">
        <v>9</v>
      </c>
      <c r="N47" s="204">
        <f>K47-'[5]Marts'!K47</f>
        <v>6021.946</v>
      </c>
      <c r="O47" s="75" t="str">
        <f t="shared" si="0"/>
        <v>t.sk.speciālajam budžetam</v>
      </c>
      <c r="P47" s="190">
        <f t="shared" si="1"/>
        <v>30267.946</v>
      </c>
      <c r="Q47" s="178">
        <f>'[5]Marts'!K47</f>
        <v>24246</v>
      </c>
      <c r="R47" s="196">
        <f t="shared" si="5"/>
        <v>6021.946</v>
      </c>
    </row>
    <row r="48" spans="1:18" ht="13.5" customHeight="1">
      <c r="A48" s="256" t="s">
        <v>283</v>
      </c>
      <c r="B48" s="217">
        <v>17643398</v>
      </c>
      <c r="C48" s="219" t="s">
        <v>9</v>
      </c>
      <c r="D48" s="254">
        <v>12701450</v>
      </c>
      <c r="E48" s="192"/>
      <c r="F48" s="219" t="s">
        <v>9</v>
      </c>
      <c r="G48" s="172"/>
      <c r="H48" s="173" t="s">
        <v>283</v>
      </c>
      <c r="I48" s="255"/>
      <c r="J48" s="257" t="s">
        <v>9</v>
      </c>
      <c r="K48" s="207">
        <f>D48/1000</f>
        <v>12701.45</v>
      </c>
      <c r="L48" s="223" t="s">
        <v>9</v>
      </c>
      <c r="M48" s="223" t="s">
        <v>9</v>
      </c>
      <c r="N48" s="204">
        <f>K48-'[5]Marts'!K48</f>
        <v>2041.4500000000007</v>
      </c>
      <c r="O48" s="75" t="str">
        <f t="shared" si="0"/>
        <v>3.2.Valsts budžeta aizdevumu atmaksas</v>
      </c>
      <c r="P48" s="190">
        <f t="shared" si="1"/>
        <v>12701.45</v>
      </c>
      <c r="Q48" s="178">
        <f>'[5]Marts'!K48</f>
        <v>10660</v>
      </c>
      <c r="R48" s="196">
        <f t="shared" si="5"/>
        <v>2041.4500000000007</v>
      </c>
    </row>
    <row r="49" spans="1:18" ht="13.5" customHeight="1">
      <c r="A49" s="54" t="s">
        <v>284</v>
      </c>
      <c r="B49" s="217"/>
      <c r="C49" s="54"/>
      <c r="D49" s="217">
        <v>1989527</v>
      </c>
      <c r="E49" s="54"/>
      <c r="F49" s="54"/>
      <c r="G49" s="172"/>
      <c r="H49" s="59" t="s">
        <v>284</v>
      </c>
      <c r="I49" s="59"/>
      <c r="J49" s="59"/>
      <c r="K49" s="207">
        <f>D49/1000</f>
        <v>1989.527</v>
      </c>
      <c r="L49" s="258"/>
      <c r="M49" s="258"/>
      <c r="N49" s="204">
        <f>K49-'[5]Marts'!K49</f>
        <v>629.527</v>
      </c>
      <c r="O49" s="75" t="str">
        <f t="shared" si="0"/>
        <v>t.sk. no speciālā budžeta</v>
      </c>
      <c r="P49" s="190">
        <f t="shared" si="1"/>
        <v>1989.527</v>
      </c>
      <c r="Q49" s="178">
        <f>'[5]Marts'!K49</f>
        <v>1360</v>
      </c>
      <c r="R49" s="196">
        <f t="shared" si="5"/>
        <v>629.527</v>
      </c>
    </row>
    <row r="50" spans="1:18" ht="13.5" customHeight="1">
      <c r="A50" s="54" t="s">
        <v>285</v>
      </c>
      <c r="B50" s="217">
        <f>-B51</f>
        <v>-78303583</v>
      </c>
      <c r="C50" s="220" t="s">
        <v>9</v>
      </c>
      <c r="D50" s="217">
        <f>(D11-D17-D45)</f>
        <v>-13551027</v>
      </c>
      <c r="E50" s="220" t="s">
        <v>9</v>
      </c>
      <c r="F50" s="220" t="s">
        <v>9</v>
      </c>
      <c r="G50" s="172"/>
      <c r="H50" s="59" t="s">
        <v>285</v>
      </c>
      <c r="I50" s="255">
        <f>-I51</f>
        <v>-78303</v>
      </c>
      <c r="J50" s="259" t="s">
        <v>9</v>
      </c>
      <c r="K50" s="169">
        <f>(K11-K17-K45)</f>
        <v>-13550.26500000001</v>
      </c>
      <c r="L50" s="223" t="s">
        <v>9</v>
      </c>
      <c r="M50" s="223" t="s">
        <v>9</v>
      </c>
      <c r="N50" s="204">
        <f>N11-N17-N45</f>
        <v>-4446.586999999996</v>
      </c>
      <c r="O50" s="75" t="str">
        <f t="shared" si="0"/>
        <v>Fiskālā bilance </v>
      </c>
      <c r="P50" s="190">
        <f t="shared" si="1"/>
        <v>-13550.26500000001</v>
      </c>
      <c r="Q50" s="178">
        <f>'[5]Marts'!K50</f>
        <v>-9104</v>
      </c>
      <c r="R50" s="196">
        <f t="shared" si="5"/>
        <v>-4446.26500000001</v>
      </c>
    </row>
    <row r="51" spans="1:18" ht="13.5" customHeight="1">
      <c r="A51" s="260" t="s">
        <v>286</v>
      </c>
      <c r="B51" s="217">
        <f>B52+B53+B54</f>
        <v>78303583</v>
      </c>
      <c r="C51" s="261"/>
      <c r="D51" s="217">
        <f>-D50</f>
        <v>13551027</v>
      </c>
      <c r="E51" s="54"/>
      <c r="F51" s="262"/>
      <c r="G51" s="172"/>
      <c r="H51" s="115" t="s">
        <v>286</v>
      </c>
      <c r="I51" s="255">
        <f>I52+I53+I54</f>
        <v>78303</v>
      </c>
      <c r="J51" s="259" t="s">
        <v>9</v>
      </c>
      <c r="K51" s="169">
        <f>-K50</f>
        <v>13550.26500000001</v>
      </c>
      <c r="L51" s="223" t="s">
        <v>9</v>
      </c>
      <c r="M51" s="223" t="s">
        <v>9</v>
      </c>
      <c r="N51" s="204">
        <f>-N50</f>
        <v>4446.586999999996</v>
      </c>
      <c r="O51" s="75" t="str">
        <f t="shared" si="0"/>
        <v>Finansēšana</v>
      </c>
      <c r="P51" s="190">
        <f t="shared" si="1"/>
        <v>13550.26500000001</v>
      </c>
      <c r="Q51" s="178">
        <f>'[5]Marts'!K51</f>
        <v>9104</v>
      </c>
      <c r="R51" s="196">
        <f t="shared" si="5"/>
        <v>4446.26500000001</v>
      </c>
    </row>
    <row r="52" spans="1:18" ht="13.5" customHeight="1">
      <c r="A52" s="263" t="s">
        <v>287</v>
      </c>
      <c r="B52" s="217">
        <v>30350000</v>
      </c>
      <c r="C52" s="220" t="s">
        <v>9</v>
      </c>
      <c r="D52" s="217">
        <v>173647</v>
      </c>
      <c r="E52" s="220" t="s">
        <v>9</v>
      </c>
      <c r="F52" s="220" t="s">
        <v>9</v>
      </c>
      <c r="G52" s="172"/>
      <c r="H52" s="90" t="s">
        <v>287</v>
      </c>
      <c r="I52" s="246">
        <f>ROUND(B52/1000,0)</f>
        <v>30350</v>
      </c>
      <c r="J52" s="259" t="s">
        <v>9</v>
      </c>
      <c r="K52" s="169">
        <f>D52/1000</f>
        <v>173.647</v>
      </c>
      <c r="L52" s="223" t="s">
        <v>9</v>
      </c>
      <c r="M52" s="223" t="s">
        <v>9</v>
      </c>
      <c r="N52" s="204">
        <f>K52-'[5]Februāris'!K52</f>
        <v>173.647</v>
      </c>
      <c r="O52" s="75" t="str">
        <f t="shared" si="0"/>
        <v>ieņēmumi no valsts īpašuma privatizācijas</v>
      </c>
      <c r="P52" s="190">
        <f t="shared" si="1"/>
        <v>173.647</v>
      </c>
      <c r="Q52" s="178">
        <f>'[5]Marts'!K52</f>
        <v>0</v>
      </c>
      <c r="R52" s="196">
        <f t="shared" si="5"/>
        <v>173.647</v>
      </c>
    </row>
    <row r="53" spans="1:18" ht="13.5" customHeight="1">
      <c r="A53" s="263" t="s">
        <v>288</v>
      </c>
      <c r="B53" s="217">
        <v>500000</v>
      </c>
      <c r="C53" s="220" t="s">
        <v>9</v>
      </c>
      <c r="D53" s="217">
        <v>27558</v>
      </c>
      <c r="E53" s="220" t="s">
        <v>9</v>
      </c>
      <c r="F53" s="220" t="s">
        <v>9</v>
      </c>
      <c r="G53" s="172"/>
      <c r="H53" s="90" t="s">
        <v>288</v>
      </c>
      <c r="I53" s="246">
        <f>ROUND(B53/1000,0)</f>
        <v>500</v>
      </c>
      <c r="J53" s="259" t="s">
        <v>9</v>
      </c>
      <c r="K53" s="169">
        <f>D53/1000</f>
        <v>27.558</v>
      </c>
      <c r="L53" s="223" t="s">
        <v>9</v>
      </c>
      <c r="M53" s="223" t="s">
        <v>9</v>
      </c>
      <c r="N53" s="204">
        <f>K53-'[5]Februāris'!K53</f>
        <v>-0.44200000000000017</v>
      </c>
      <c r="O53" s="75" t="str">
        <f t="shared" si="0"/>
        <v>ieņēmumi no valsts īpašuma pārdošanas </v>
      </c>
      <c r="P53" s="190">
        <f t="shared" si="1"/>
        <v>27.558</v>
      </c>
      <c r="Q53" s="178">
        <f>'[5]Marts'!K53</f>
        <v>28</v>
      </c>
      <c r="R53" s="196">
        <f t="shared" si="5"/>
        <v>-0.44200000000000017</v>
      </c>
    </row>
    <row r="54" spans="1:19" ht="13.5" customHeight="1">
      <c r="A54" s="54" t="s">
        <v>289</v>
      </c>
      <c r="B54" s="217">
        <v>47453583</v>
      </c>
      <c r="C54" s="220" t="s">
        <v>9</v>
      </c>
      <c r="D54" s="217">
        <f>D51-D52-D53</f>
        <v>13349822</v>
      </c>
      <c r="E54" s="220" t="s">
        <v>9</v>
      </c>
      <c r="F54" s="220" t="s">
        <v>9</v>
      </c>
      <c r="G54" s="172"/>
      <c r="H54" s="59" t="s">
        <v>289</v>
      </c>
      <c r="I54" s="246">
        <f>ROUND(B54/1000,0)-1</f>
        <v>47453</v>
      </c>
      <c r="J54" s="259" t="s">
        <v>9</v>
      </c>
      <c r="K54" s="169">
        <f>K51-K52-K53</f>
        <v>13349.060000000009</v>
      </c>
      <c r="L54" s="223" t="s">
        <v>9</v>
      </c>
      <c r="M54" s="223" t="s">
        <v>9</v>
      </c>
      <c r="N54" s="204">
        <f>N51-N52-N53</f>
        <v>4273.381999999996</v>
      </c>
      <c r="O54" s="75" t="str">
        <f t="shared" si="0"/>
        <v>citi finansēšanas avoti </v>
      </c>
      <c r="P54" s="190">
        <f t="shared" si="1"/>
        <v>13349.060000000009</v>
      </c>
      <c r="Q54" s="178">
        <f>'[5]Marts'!K54</f>
        <v>9076</v>
      </c>
      <c r="R54" s="196">
        <f t="shared" si="5"/>
        <v>4273.060000000009</v>
      </c>
      <c r="S54" s="31"/>
    </row>
    <row r="55" spans="1:14" ht="12.75">
      <c r="A55" s="39"/>
      <c r="B55" s="39"/>
      <c r="C55" s="39"/>
      <c r="D55" s="39"/>
      <c r="E55" s="39"/>
      <c r="F55" s="39"/>
      <c r="G55" s="39"/>
      <c r="H55" s="75"/>
      <c r="I55" s="75"/>
      <c r="J55" s="75"/>
      <c r="K55" s="75"/>
      <c r="L55" s="75"/>
      <c r="M55" s="75"/>
      <c r="N55" s="75"/>
    </row>
    <row r="56" spans="1:14" ht="12.75">
      <c r="A56" s="39"/>
      <c r="B56" s="39"/>
      <c r="C56" s="39"/>
      <c r="D56" s="39"/>
      <c r="E56" s="39"/>
      <c r="F56" s="39"/>
      <c r="G56" s="39"/>
      <c r="H56" s="75"/>
      <c r="I56" s="75"/>
      <c r="J56" s="75"/>
      <c r="K56" s="75"/>
      <c r="L56" s="75"/>
      <c r="M56" s="75"/>
      <c r="N56" s="75"/>
    </row>
    <row r="57" spans="1:14" ht="12.75">
      <c r="A57" s="39"/>
      <c r="B57" s="39"/>
      <c r="C57" s="39"/>
      <c r="D57" s="39"/>
      <c r="E57" s="39"/>
      <c r="F57" s="39"/>
      <c r="G57" s="39"/>
      <c r="H57" s="75"/>
      <c r="I57" s="75"/>
      <c r="J57" s="75"/>
      <c r="K57" s="75"/>
      <c r="L57" s="75"/>
      <c r="M57" s="75"/>
      <c r="N57" s="75"/>
    </row>
    <row r="58" spans="1:14" ht="12.75">
      <c r="A58" s="39"/>
      <c r="B58" s="39"/>
      <c r="C58" s="39"/>
      <c r="D58" s="39"/>
      <c r="E58" s="39"/>
      <c r="F58" s="39"/>
      <c r="G58" s="39"/>
      <c r="H58" s="168"/>
      <c r="I58" s="75"/>
      <c r="J58" s="75"/>
      <c r="K58" s="75"/>
      <c r="L58" s="75"/>
      <c r="M58" s="75"/>
      <c r="N58" s="75"/>
    </row>
    <row r="59" spans="1:14" ht="12.75">
      <c r="A59" s="39"/>
      <c r="B59" s="39"/>
      <c r="C59" s="39"/>
      <c r="D59" s="39"/>
      <c r="E59" s="39"/>
      <c r="F59" s="39"/>
      <c r="G59" s="39"/>
      <c r="H59" s="75"/>
      <c r="I59" s="75"/>
      <c r="J59" s="75"/>
      <c r="K59" s="75"/>
      <c r="L59" s="75"/>
      <c r="M59" s="75"/>
      <c r="N59" s="75"/>
    </row>
    <row r="60" spans="8:14" ht="12.75">
      <c r="H60" s="75"/>
      <c r="I60" s="75"/>
      <c r="J60" s="75"/>
      <c r="K60" s="75"/>
      <c r="L60" s="75"/>
      <c r="M60" s="75"/>
      <c r="N60" s="75"/>
    </row>
    <row r="61" spans="1:14" ht="12.75">
      <c r="A61" s="37" t="s">
        <v>290</v>
      </c>
      <c r="H61" s="145" t="s">
        <v>290</v>
      </c>
      <c r="I61" s="75"/>
      <c r="J61" s="75"/>
      <c r="K61" s="75"/>
      <c r="L61" s="75"/>
      <c r="M61" s="75"/>
      <c r="N61" s="75"/>
    </row>
    <row r="62" spans="8:14" ht="12.75">
      <c r="H62" s="75"/>
      <c r="I62" s="75"/>
      <c r="J62" s="75"/>
      <c r="K62" s="75"/>
      <c r="L62" s="75"/>
      <c r="M62" s="75"/>
      <c r="N62" s="75"/>
    </row>
    <row r="63" spans="8:14" ht="12.75">
      <c r="H63" s="75"/>
      <c r="I63" s="75"/>
      <c r="J63" s="75"/>
      <c r="K63" s="75"/>
      <c r="L63" s="75"/>
      <c r="M63" s="75"/>
      <c r="N63" s="75"/>
    </row>
    <row r="64" spans="8:14" ht="12.75">
      <c r="H64" s="75"/>
      <c r="I64" s="75"/>
      <c r="J64" s="75"/>
      <c r="K64" s="75"/>
      <c r="L64" s="75"/>
      <c r="M64" s="75"/>
      <c r="N64" s="75"/>
    </row>
    <row r="65" spans="8:14" ht="12.75">
      <c r="H65" s="75"/>
      <c r="I65" s="75"/>
      <c r="J65" s="75"/>
      <c r="K65" s="75"/>
      <c r="L65" s="75"/>
      <c r="M65" s="75"/>
      <c r="N65" s="75"/>
    </row>
    <row r="66" spans="8:14" ht="12.75">
      <c r="H66" s="75"/>
      <c r="I66" s="75"/>
      <c r="J66" s="75"/>
      <c r="K66" s="75"/>
      <c r="L66" s="75"/>
      <c r="M66" s="75"/>
      <c r="N66" s="75"/>
    </row>
    <row r="67" spans="8:14" ht="13.5" customHeight="1">
      <c r="H67" s="75"/>
      <c r="I67" s="75"/>
      <c r="J67" s="75"/>
      <c r="K67" s="75"/>
      <c r="L67" s="75"/>
      <c r="M67" s="75"/>
      <c r="N67" s="75"/>
    </row>
    <row r="68" spans="8:14" ht="12.75">
      <c r="H68" s="75"/>
      <c r="I68" s="75"/>
      <c r="J68" s="75"/>
      <c r="K68" s="75"/>
      <c r="L68" s="75"/>
      <c r="M68" s="75"/>
      <c r="N68" s="75"/>
    </row>
    <row r="69" spans="8:14" ht="12.75">
      <c r="H69" s="75"/>
      <c r="I69" s="75"/>
      <c r="J69" s="75"/>
      <c r="K69" s="75"/>
      <c r="L69" s="75"/>
      <c r="M69" s="75"/>
      <c r="N69" s="75"/>
    </row>
    <row r="70" spans="1:14" ht="12.75">
      <c r="A70" s="43" t="s">
        <v>120</v>
      </c>
      <c r="I70" s="75"/>
      <c r="J70" s="75"/>
      <c r="K70" s="75"/>
      <c r="L70" s="75"/>
      <c r="M70" s="75"/>
      <c r="N70" s="75"/>
    </row>
    <row r="71" spans="1:14" ht="12.75">
      <c r="A71" s="43" t="s">
        <v>291</v>
      </c>
      <c r="I71" s="75"/>
      <c r="J71" s="75"/>
      <c r="K71" s="75"/>
      <c r="L71" s="75"/>
      <c r="M71" s="75"/>
      <c r="N71" s="75"/>
    </row>
    <row r="72" spans="8:14" ht="12.75">
      <c r="H72" s="75"/>
      <c r="I72" s="75"/>
      <c r="J72" s="75"/>
      <c r="K72" s="75"/>
      <c r="L72" s="75"/>
      <c r="M72" s="75"/>
      <c r="N72" s="75"/>
    </row>
    <row r="73" spans="9:14" ht="12.75">
      <c r="I73" s="75"/>
      <c r="J73" s="75"/>
      <c r="K73" s="75"/>
      <c r="L73" s="75"/>
      <c r="M73" s="75"/>
      <c r="N73" s="75"/>
    </row>
    <row r="74" spans="9:14" ht="12.75">
      <c r="I74" s="75"/>
      <c r="J74" s="75"/>
      <c r="K74" s="75"/>
      <c r="L74" s="75"/>
      <c r="M74" s="75"/>
      <c r="N74" s="75"/>
    </row>
    <row r="79" ht="12.75">
      <c r="H79" s="165" t="s">
        <v>120</v>
      </c>
    </row>
    <row r="80" ht="12.75">
      <c r="H80" s="165" t="s">
        <v>43</v>
      </c>
    </row>
  </sheetData>
  <printOptions/>
  <pageMargins left="0.75" right="0.24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2"/>
  <sheetViews>
    <sheetView workbookViewId="0" topLeftCell="G202">
      <selection activeCell="G209" sqref="G209"/>
    </sheetView>
  </sheetViews>
  <sheetFormatPr defaultColWidth="9.140625" defaultRowHeight="12.75"/>
  <cols>
    <col min="1" max="1" width="43.28125" style="0" hidden="1" customWidth="1"/>
    <col min="2" max="2" width="12.140625" style="0" hidden="1" customWidth="1"/>
    <col min="3" max="3" width="13.7109375" style="0" hidden="1" customWidth="1"/>
    <col min="4" max="4" width="11.00390625" style="0" hidden="1" customWidth="1"/>
    <col min="5" max="5" width="9.140625" style="0" hidden="1" customWidth="1"/>
    <col min="6" max="6" width="2.28125" style="0" hidden="1" customWidth="1"/>
    <col min="7" max="7" width="41.421875" style="0" customWidth="1"/>
    <col min="8" max="8" width="11.421875" style="0" customWidth="1"/>
    <col min="9" max="9" width="12.421875" style="0" customWidth="1"/>
    <col min="10" max="10" width="9.57421875" style="0" customWidth="1"/>
    <col min="11" max="11" width="9.28125" style="0" customWidth="1"/>
    <col min="12" max="12" width="10.421875" style="0" customWidth="1"/>
  </cols>
  <sheetData>
    <row r="1" spans="1:13" ht="12.75">
      <c r="A1" s="264"/>
      <c r="B1" s="264"/>
      <c r="C1" s="264"/>
      <c r="D1" s="264"/>
      <c r="E1" s="264"/>
      <c r="F1" s="264" t="s">
        <v>292</v>
      </c>
      <c r="G1" s="265"/>
      <c r="H1" s="265"/>
      <c r="I1" s="265"/>
      <c r="J1" s="265"/>
      <c r="K1" s="265"/>
      <c r="L1" s="264" t="s">
        <v>292</v>
      </c>
      <c r="M1" s="265"/>
    </row>
    <row r="2" spans="1:13" ht="12.75">
      <c r="A2" s="32" t="s">
        <v>293</v>
      </c>
      <c r="B2" s="32"/>
      <c r="C2" s="32"/>
      <c r="D2" s="32"/>
      <c r="E2" s="32"/>
      <c r="F2" s="264"/>
      <c r="G2" s="444" t="s">
        <v>45</v>
      </c>
      <c r="H2" s="444"/>
      <c r="I2" s="444"/>
      <c r="J2" s="444"/>
      <c r="K2" s="444"/>
      <c r="L2" s="444"/>
      <c r="M2" s="265"/>
    </row>
    <row r="3" spans="1:13" ht="12.75">
      <c r="A3" s="32"/>
      <c r="B3" s="32"/>
      <c r="C3" s="32"/>
      <c r="D3" s="32"/>
      <c r="E3" s="32"/>
      <c r="F3" s="264"/>
      <c r="G3" s="265"/>
      <c r="H3" s="265"/>
      <c r="I3" s="265"/>
      <c r="J3" s="265"/>
      <c r="K3" s="265"/>
      <c r="L3" s="265"/>
      <c r="M3" s="265"/>
    </row>
    <row r="4" spans="1:13" ht="18">
      <c r="A4" s="445" t="s">
        <v>294</v>
      </c>
      <c r="B4" s="445"/>
      <c r="C4" s="445"/>
      <c r="D4" s="445"/>
      <c r="E4" s="445"/>
      <c r="F4" s="445"/>
      <c r="G4" s="449" t="s">
        <v>294</v>
      </c>
      <c r="H4" s="449"/>
      <c r="I4" s="449"/>
      <c r="J4" s="449"/>
      <c r="K4" s="449"/>
      <c r="L4" s="449"/>
      <c r="M4" s="265"/>
    </row>
    <row r="5" spans="1:13" ht="18">
      <c r="A5" s="445" t="s">
        <v>295</v>
      </c>
      <c r="B5" s="445"/>
      <c r="C5" s="445"/>
      <c r="D5" s="445"/>
      <c r="E5" s="445"/>
      <c r="F5" s="445"/>
      <c r="G5" s="449" t="s">
        <v>295</v>
      </c>
      <c r="H5" s="449"/>
      <c r="I5" s="449"/>
      <c r="J5" s="449"/>
      <c r="K5" s="449"/>
      <c r="L5" s="449"/>
      <c r="M5" s="265"/>
    </row>
    <row r="6" spans="1:13" ht="18">
      <c r="A6" s="46"/>
      <c r="B6" s="46"/>
      <c r="C6" s="46"/>
      <c r="D6" s="46"/>
      <c r="E6" s="46"/>
      <c r="F6" s="46"/>
      <c r="G6" s="266"/>
      <c r="H6" s="266"/>
      <c r="I6" s="266"/>
      <c r="J6" s="266"/>
      <c r="K6" s="266"/>
      <c r="L6" s="266"/>
      <c r="M6" s="265"/>
    </row>
    <row r="7" spans="1:13" ht="15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265"/>
    </row>
    <row r="8" spans="1:13" ht="14.25">
      <c r="A8" s="267"/>
      <c r="B8" s="264"/>
      <c r="C8" s="264"/>
      <c r="D8" s="264"/>
      <c r="E8" s="264"/>
      <c r="F8" s="264" t="s">
        <v>296</v>
      </c>
      <c r="G8" s="265"/>
      <c r="H8" s="265"/>
      <c r="I8" s="265"/>
      <c r="J8" s="265"/>
      <c r="K8" s="265"/>
      <c r="L8" s="264" t="s">
        <v>297</v>
      </c>
      <c r="M8" s="268"/>
    </row>
    <row r="9" spans="1:13" ht="51" customHeight="1">
      <c r="A9" s="85" t="s">
        <v>2</v>
      </c>
      <c r="B9" s="85" t="s">
        <v>49</v>
      </c>
      <c r="C9" s="85" t="s">
        <v>229</v>
      </c>
      <c r="D9" s="85" t="s">
        <v>50</v>
      </c>
      <c r="E9" s="85" t="s">
        <v>298</v>
      </c>
      <c r="F9" s="269" t="s">
        <v>234</v>
      </c>
      <c r="G9" s="85" t="s">
        <v>2</v>
      </c>
      <c r="H9" s="85" t="s">
        <v>49</v>
      </c>
      <c r="I9" s="85" t="s">
        <v>299</v>
      </c>
      <c r="J9" s="85" t="s">
        <v>50</v>
      </c>
      <c r="K9" s="85" t="s">
        <v>298</v>
      </c>
      <c r="L9" s="85" t="s">
        <v>234</v>
      </c>
      <c r="M9" s="265"/>
    </row>
    <row r="10" spans="1:13" ht="12.75">
      <c r="A10" s="270">
        <v>1</v>
      </c>
      <c r="B10" s="159">
        <v>2</v>
      </c>
      <c r="C10" s="263">
        <v>3</v>
      </c>
      <c r="D10" s="263">
        <v>4</v>
      </c>
      <c r="E10" s="263">
        <v>5</v>
      </c>
      <c r="F10" s="271">
        <v>6</v>
      </c>
      <c r="G10" s="270">
        <v>1</v>
      </c>
      <c r="H10" s="159">
        <v>2</v>
      </c>
      <c r="I10" s="263">
        <v>3</v>
      </c>
      <c r="J10" s="263">
        <v>4</v>
      </c>
      <c r="K10" s="263">
        <v>5</v>
      </c>
      <c r="L10" s="270">
        <v>6</v>
      </c>
      <c r="M10" s="265"/>
    </row>
    <row r="11" spans="1:13" ht="12.75">
      <c r="A11" s="26" t="s">
        <v>300</v>
      </c>
      <c r="B11" s="272">
        <f>SUM(+B21+B28+B34+B40+B47+B58+B66+B77+B84+B90+B100+B156+B164+B170+B177)</f>
        <v>699762222</v>
      </c>
      <c r="C11" s="6">
        <f>SUM(+C21+C28+C34+C40+C47+C58+C66+C77+C84+C90+C100+C156+C164+C170+C177)</f>
        <v>222996517</v>
      </c>
      <c r="D11" s="6">
        <f>SUM(+D21+D28+D34+D40+D47+D58+D66+D77+D84+D90+D100+D156+D164+D170+D177)</f>
        <v>215050212</v>
      </c>
      <c r="E11" s="192">
        <f>IF(ISERROR(D11/B11)," ",(D11/B11))</f>
        <v>0.3073189795604599</v>
      </c>
      <c r="F11" s="6">
        <f>SUM(+F21+F28+F34+F40+F47+F58+F66+F77+F84+F90+F100+F156+F164+F170+F177)</f>
        <v>55149093</v>
      </c>
      <c r="G11" s="26" t="s">
        <v>300</v>
      </c>
      <c r="H11" s="272">
        <f>SUM(+H21+H28+H34+H40+H47+H58+H66+H77+H84+H90+H100+H156+H164+H170+H177)</f>
        <v>699762</v>
      </c>
      <c r="I11" s="272">
        <f>SUM(I21+I28+I34+I40+I47+I58+I66+I77+I84+I90+I100+I156+I164+I170+I177)</f>
        <v>222309</v>
      </c>
      <c r="J11" s="272">
        <f>SUM(J21+J28+J34+J40+J47+J58+J66+J77+J84+J90+J100+J156+J164+J170+J177)</f>
        <v>215050</v>
      </c>
      <c r="K11" s="273">
        <f>IF(ISERROR(ROUND(J11,0)/ROUND(H11,0))," ",(ROUND(J11,)/ROUND(H11,)))</f>
        <v>0.3073187740974789</v>
      </c>
      <c r="L11" s="272">
        <f>SUM(L21+L28+L34+L40+L47+L58+L66+L77+L84+L90+L100+L156+L164+L170+L177)</f>
        <v>55149</v>
      </c>
      <c r="M11" s="274"/>
    </row>
    <row r="12" spans="1:13" ht="12.75">
      <c r="A12" s="26" t="s">
        <v>301</v>
      </c>
      <c r="B12" s="6">
        <f>B13+B14</f>
        <v>743446778</v>
      </c>
      <c r="C12" s="6">
        <f>C13+C14</f>
        <v>260491805</v>
      </c>
      <c r="D12" s="6">
        <f>D13+D14</f>
        <v>235702669</v>
      </c>
      <c r="E12" s="275">
        <f aca="true" t="shared" si="0" ref="E12:E75">IF(ISERROR(D12/B12)," ",(D12/B12))</f>
        <v>0.3170404068924487</v>
      </c>
      <c r="F12" s="276">
        <f>F13+F14</f>
        <v>58008675</v>
      </c>
      <c r="G12" s="26" t="s">
        <v>301</v>
      </c>
      <c r="H12" s="272">
        <f>H13+H14</f>
        <v>743447</v>
      </c>
      <c r="I12" s="272">
        <f>I13+I14</f>
        <v>260492</v>
      </c>
      <c r="J12" s="272">
        <f>J13+J14</f>
        <v>235703</v>
      </c>
      <c r="K12" s="273">
        <f aca="true" t="shared" si="1" ref="K12:K75">IF(ISERROR(ROUND(J12,0)/ROUND(H12,0))," ",(ROUND(J12,)/ROUND(H12,)))</f>
        <v>0.3170407574447136</v>
      </c>
      <c r="L12" s="272">
        <f>L13+L14</f>
        <v>58009</v>
      </c>
      <c r="M12" s="274"/>
    </row>
    <row r="13" spans="1:13" ht="12.75">
      <c r="A13" s="205" t="s">
        <v>302</v>
      </c>
      <c r="B13" s="277">
        <f>SUM(B24+B32+B37+B43+B50+B62+B72+B81+B95+B105+B161+B166+B175+B180)</f>
        <v>706050840</v>
      </c>
      <c r="C13" s="277">
        <f>SUM(C24+C32+C37+C43+C50+C62+C72+C81+C95+C105+C161+C166+C175+C180)</f>
        <v>247518783</v>
      </c>
      <c r="D13" s="277">
        <f>SUM(D24+D32+D37+D43+D50+D62+D72+D81+D95+D105+D161+D166+D175+D180)</f>
        <v>227901949</v>
      </c>
      <c r="E13" s="278">
        <f t="shared" si="0"/>
        <v>0.3227840490919889</v>
      </c>
      <c r="F13" s="277">
        <f>SUM(F24+F32+F37+F43+F50+F62+F72+F81+F95+F105+F161+F166+F175+F180)</f>
        <v>56486799</v>
      </c>
      <c r="G13" s="205" t="s">
        <v>303</v>
      </c>
      <c r="H13" s="279">
        <f>ROUND(B13/1000,0)</f>
        <v>706051</v>
      </c>
      <c r="I13" s="277">
        <f>SUM(I24+I32+I37+I43+I50+I62+I72+I81+I95+I105+I161+I166+I175+I180)</f>
        <v>247520</v>
      </c>
      <c r="J13" s="277">
        <f>SUM(J24+J32+J37+J43+J50+J62+J72+J81+J95+J105+J161+J166+J175+J180)</f>
        <v>227902</v>
      </c>
      <c r="K13" s="280">
        <f t="shared" si="1"/>
        <v>0.32278404817782286</v>
      </c>
      <c r="L13" s="277">
        <f>SUM(L24+L32+L37+L43+L50+L62+L72+L81+L95+L105+L161+L166+L175+L180)-1</f>
        <v>56486</v>
      </c>
      <c r="M13" s="265"/>
    </row>
    <row r="14" spans="1:13" ht="12.75">
      <c r="A14" s="205" t="s">
        <v>304</v>
      </c>
      <c r="B14" s="277">
        <f>SUM(B25+B45+B51+B63+B73+B82+B86+B96+B106+B162+B167+B181)</f>
        <v>37395938</v>
      </c>
      <c r="C14" s="277">
        <f>SUM(C25+C45+C51+C63+C73+C82+C86+C96+C106+C162+C167+C181)</f>
        <v>12973022</v>
      </c>
      <c r="D14" s="277">
        <f>SUM(D25+D45+D51+D63+D73+D82+D86+D96+D106+D162+D167+D181)</f>
        <v>7800720</v>
      </c>
      <c r="E14" s="278">
        <f t="shared" si="0"/>
        <v>0.2085980568263858</v>
      </c>
      <c r="F14" s="277">
        <f>SUM(F25+F45+F51+F63+F73+F82+F86+F96+F106+F162+F167+F181)</f>
        <v>1521876</v>
      </c>
      <c r="G14" s="205" t="s">
        <v>304</v>
      </c>
      <c r="H14" s="279">
        <f>ROUND(B14/1000,0)</f>
        <v>37396</v>
      </c>
      <c r="I14" s="277">
        <f>SUM(I25+I45+I51+I63+I73+I82+I86+I96+I106+I162+I167+I181)</f>
        <v>12972</v>
      </c>
      <c r="J14" s="277">
        <f>SUM(J25+J45+J51+J63+J73+J82+J86+J96+J106+J162+J167+J181)</f>
        <v>7801</v>
      </c>
      <c r="K14" s="280">
        <f t="shared" si="1"/>
        <v>0.208605198416943</v>
      </c>
      <c r="L14" s="277">
        <f>SUM(L25+L45+L51+L63+L73+L82+L86+L96+L106+L162+L167+L181)</f>
        <v>1523</v>
      </c>
      <c r="M14" s="265"/>
    </row>
    <row r="15" spans="1:13" ht="12.75">
      <c r="A15" s="26" t="s">
        <v>305</v>
      </c>
      <c r="B15" s="6">
        <f aca="true" t="shared" si="2" ref="B15:D16">SUM(B52)</f>
        <v>6756000</v>
      </c>
      <c r="C15" s="6">
        <f t="shared" si="2"/>
        <v>2337400</v>
      </c>
      <c r="D15" s="6">
        <f t="shared" si="2"/>
        <v>1636863</v>
      </c>
      <c r="E15" s="275">
        <f t="shared" si="0"/>
        <v>0.24228285968028418</v>
      </c>
      <c r="F15" s="276">
        <f>SUM(F52)</f>
        <v>534296</v>
      </c>
      <c r="G15" s="26" t="s">
        <v>305</v>
      </c>
      <c r="H15" s="272">
        <f aca="true" t="shared" si="3" ref="H15:J16">SUM(H52)</f>
        <v>6756</v>
      </c>
      <c r="I15" s="272">
        <f t="shared" si="3"/>
        <v>2337</v>
      </c>
      <c r="J15" s="272">
        <f t="shared" si="3"/>
        <v>1637</v>
      </c>
      <c r="K15" s="273">
        <f t="shared" si="1"/>
        <v>0.24230313795145056</v>
      </c>
      <c r="L15" s="272">
        <f>SUM(L52)</f>
        <v>534</v>
      </c>
      <c r="M15" s="281"/>
    </row>
    <row r="16" spans="1:13" ht="12.75">
      <c r="A16" s="26" t="s">
        <v>306</v>
      </c>
      <c r="B16" s="6">
        <f t="shared" si="2"/>
        <v>16380</v>
      </c>
      <c r="C16" s="6">
        <f t="shared" si="2"/>
        <v>3928</v>
      </c>
      <c r="D16" s="6">
        <f t="shared" si="2"/>
        <v>13098</v>
      </c>
      <c r="E16" s="275">
        <f t="shared" si="0"/>
        <v>0.7996336996336997</v>
      </c>
      <c r="F16" s="276">
        <f>SUM(F53)</f>
        <v>1873</v>
      </c>
      <c r="G16" s="26" t="s">
        <v>306</v>
      </c>
      <c r="H16" s="272">
        <f t="shared" si="3"/>
        <v>16</v>
      </c>
      <c r="I16" s="272">
        <f t="shared" si="3"/>
        <v>4</v>
      </c>
      <c r="J16" s="272">
        <f t="shared" si="3"/>
        <v>13</v>
      </c>
      <c r="K16" s="273">
        <f t="shared" si="1"/>
        <v>0.8125</v>
      </c>
      <c r="L16" s="272">
        <f>SUM(L53)</f>
        <v>2</v>
      </c>
      <c r="M16" s="281"/>
    </row>
    <row r="17" spans="1:13" ht="12.75">
      <c r="A17" s="26" t="s">
        <v>307</v>
      </c>
      <c r="B17" s="6">
        <f>B11-B12-B15+B16</f>
        <v>-50424176</v>
      </c>
      <c r="C17" s="6">
        <f>C11-C12-C15+C16</f>
        <v>-39828760</v>
      </c>
      <c r="D17" s="6">
        <f>D11-D12-D15+D16</f>
        <v>-22276222</v>
      </c>
      <c r="E17" s="275">
        <f t="shared" si="0"/>
        <v>0.44177661921535416</v>
      </c>
      <c r="F17" s="276">
        <f>F11-F12-F15+F16</f>
        <v>-3392005</v>
      </c>
      <c r="G17" s="26" t="s">
        <v>307</v>
      </c>
      <c r="H17" s="6">
        <f>H11-H12-H15+H16</f>
        <v>-50425</v>
      </c>
      <c r="I17" s="6">
        <f>I11-I12-I15+I16</f>
        <v>-40516</v>
      </c>
      <c r="J17" s="6">
        <f>J11-J12-J15+J16</f>
        <v>-22277</v>
      </c>
      <c r="K17" s="273">
        <f t="shared" si="1"/>
        <v>0.44178482895389193</v>
      </c>
      <c r="L17" s="6">
        <f>L11-L12-L15+L16</f>
        <v>-3392</v>
      </c>
      <c r="M17" s="281"/>
    </row>
    <row r="18" spans="1:13" ht="12.75">
      <c r="A18" s="205" t="s">
        <v>308</v>
      </c>
      <c r="B18" s="6">
        <f>SUM(B55+B75+B108+B98+B183)</f>
        <v>52217619</v>
      </c>
      <c r="C18" s="6">
        <f>SUM(C55+C75+C98+C108+C183)</f>
        <v>32744861</v>
      </c>
      <c r="D18" s="6">
        <f>SUM(D55+D75+D87+D98+D108+D183-D44)</f>
        <v>28277503</v>
      </c>
      <c r="E18" s="275">
        <f t="shared" si="0"/>
        <v>0.5415318343029007</v>
      </c>
      <c r="F18" s="6">
        <f>SUM(F55+F75+F87+F98+F108+F183-F44)</f>
        <v>5391825</v>
      </c>
      <c r="G18" s="205" t="s">
        <v>308</v>
      </c>
      <c r="H18" s="6">
        <f>SUM(H55+H75+H98+H108+H183)</f>
        <v>52218</v>
      </c>
      <c r="I18" s="272">
        <f>SUM(I55+I75+I98+I108+I183)</f>
        <v>32745</v>
      </c>
      <c r="J18" s="272">
        <f>SUM(J55+J75+J98+J87+J108+J183-J44)</f>
        <v>28277</v>
      </c>
      <c r="K18" s="273">
        <f t="shared" si="1"/>
        <v>0.5415182504117354</v>
      </c>
      <c r="L18" s="272">
        <f>SUM(L55+L75+L87+L98+L108+L183-L44)</f>
        <v>5092</v>
      </c>
      <c r="M18" s="281"/>
    </row>
    <row r="19" spans="1:13" ht="12.75">
      <c r="A19" s="26" t="s">
        <v>193</v>
      </c>
      <c r="B19" s="6"/>
      <c r="C19" s="6"/>
      <c r="D19" s="6"/>
      <c r="E19" s="275" t="str">
        <f t="shared" si="0"/>
        <v> </v>
      </c>
      <c r="F19" s="276"/>
      <c r="G19" s="26" t="s">
        <v>193</v>
      </c>
      <c r="H19" s="272"/>
      <c r="I19" s="272"/>
      <c r="J19" s="272"/>
      <c r="K19" s="273"/>
      <c r="L19" s="272"/>
      <c r="M19" s="265"/>
    </row>
    <row r="20" spans="1:13" ht="12.75">
      <c r="A20" s="213" t="s">
        <v>309</v>
      </c>
      <c r="B20" s="277"/>
      <c r="C20" s="277"/>
      <c r="D20" s="277"/>
      <c r="E20" s="278" t="str">
        <f t="shared" si="0"/>
        <v> </v>
      </c>
      <c r="F20" s="282"/>
      <c r="G20" s="213" t="s">
        <v>309</v>
      </c>
      <c r="H20" s="283"/>
      <c r="I20" s="283"/>
      <c r="J20" s="283"/>
      <c r="K20" s="280"/>
      <c r="L20" s="283"/>
      <c r="M20" s="265"/>
    </row>
    <row r="21" spans="1:13" ht="12.75">
      <c r="A21" s="205" t="s">
        <v>310</v>
      </c>
      <c r="B21" s="277">
        <f>B22</f>
        <v>2100500</v>
      </c>
      <c r="C21" s="284">
        <f>SUM(C22)</f>
        <v>851000</v>
      </c>
      <c r="D21" s="277">
        <f>D22</f>
        <v>747749</v>
      </c>
      <c r="E21" s="278">
        <f t="shared" si="0"/>
        <v>0.3559861937633897</v>
      </c>
      <c r="F21" s="277">
        <f>F22</f>
        <v>153810</v>
      </c>
      <c r="G21" s="205" t="s">
        <v>310</v>
      </c>
      <c r="H21" s="279">
        <f>H22</f>
        <v>2101</v>
      </c>
      <c r="I21" s="279">
        <f>ROUND(C21/1000,0)</f>
        <v>851</v>
      </c>
      <c r="J21" s="279">
        <f>J22</f>
        <v>748</v>
      </c>
      <c r="K21" s="280">
        <f t="shared" si="1"/>
        <v>0.35602094240837695</v>
      </c>
      <c r="L21" s="279">
        <f>SUM(L22)</f>
        <v>154</v>
      </c>
      <c r="M21" s="265"/>
    </row>
    <row r="22" spans="1:13" ht="12.75">
      <c r="A22" s="205" t="s">
        <v>311</v>
      </c>
      <c r="B22" s="277">
        <v>2100500</v>
      </c>
      <c r="C22" s="284">
        <v>851000</v>
      </c>
      <c r="D22" s="277">
        <v>747749</v>
      </c>
      <c r="E22" s="278">
        <f t="shared" si="0"/>
        <v>0.3559861937633897</v>
      </c>
      <c r="F22" s="282">
        <f>D22-'[6]Marts'!D22</f>
        <v>153810</v>
      </c>
      <c r="G22" s="205" t="s">
        <v>311</v>
      </c>
      <c r="H22" s="279">
        <f>ROUND(B22/1000,0)</f>
        <v>2101</v>
      </c>
      <c r="I22" s="279">
        <f>ROUND(C22/1000,0)</f>
        <v>851</v>
      </c>
      <c r="J22" s="279">
        <f>ROUND(D22/1000,0)</f>
        <v>748</v>
      </c>
      <c r="K22" s="280">
        <f t="shared" si="1"/>
        <v>0.35602094240837695</v>
      </c>
      <c r="L22" s="279">
        <f>J22-'[6]Marts'!J22</f>
        <v>154</v>
      </c>
      <c r="M22" s="265"/>
    </row>
    <row r="23" spans="1:13" ht="12.75">
      <c r="A23" s="205" t="s">
        <v>312</v>
      </c>
      <c r="B23" s="277">
        <f>B24+B25</f>
        <v>2100500</v>
      </c>
      <c r="C23" s="284">
        <f>SUM(C24:C25)</f>
        <v>851000</v>
      </c>
      <c r="D23" s="277">
        <f>D24+D25</f>
        <v>826935</v>
      </c>
      <c r="E23" s="278">
        <f t="shared" si="0"/>
        <v>0.39368483694358486</v>
      </c>
      <c r="F23" s="277">
        <f>F24+F25</f>
        <v>225985</v>
      </c>
      <c r="G23" s="205" t="s">
        <v>312</v>
      </c>
      <c r="H23" s="283">
        <f>H24+H25</f>
        <v>2101</v>
      </c>
      <c r="I23" s="283">
        <f>I24+I25</f>
        <v>851</v>
      </c>
      <c r="J23" s="283">
        <f>J24+J25</f>
        <v>827</v>
      </c>
      <c r="K23" s="280">
        <f t="shared" si="1"/>
        <v>0.3936220847215612</v>
      </c>
      <c r="L23" s="283">
        <f>L24+L25</f>
        <v>226</v>
      </c>
      <c r="M23" s="265"/>
    </row>
    <row r="24" spans="1:13" ht="12.75">
      <c r="A24" s="205" t="s">
        <v>313</v>
      </c>
      <c r="B24" s="277">
        <v>2014500</v>
      </c>
      <c r="C24" s="284">
        <v>821000</v>
      </c>
      <c r="D24" s="277">
        <v>819226</v>
      </c>
      <c r="E24" s="278">
        <f t="shared" si="0"/>
        <v>0.40666468106229836</v>
      </c>
      <c r="F24" s="282">
        <f>D24-'[6]Marts'!D24</f>
        <v>225221</v>
      </c>
      <c r="G24" s="205" t="s">
        <v>313</v>
      </c>
      <c r="H24" s="279">
        <f aca="true" t="shared" si="4" ref="H24:J25">ROUND(B24/1000,0)</f>
        <v>2015</v>
      </c>
      <c r="I24" s="279">
        <f>ROUND(C24/1000,0)</f>
        <v>821</v>
      </c>
      <c r="J24" s="279">
        <f t="shared" si="4"/>
        <v>819</v>
      </c>
      <c r="K24" s="280">
        <f t="shared" si="1"/>
        <v>0.4064516129032258</v>
      </c>
      <c r="L24" s="279">
        <f>J24-'[6]Marts'!J24</f>
        <v>225</v>
      </c>
      <c r="M24" s="265"/>
    </row>
    <row r="25" spans="1:13" ht="12.75">
      <c r="A25" s="205" t="s">
        <v>304</v>
      </c>
      <c r="B25" s="277">
        <v>86000</v>
      </c>
      <c r="C25" s="284">
        <v>30000</v>
      </c>
      <c r="D25" s="277">
        <v>7709</v>
      </c>
      <c r="E25" s="278">
        <f t="shared" si="0"/>
        <v>0.08963953488372094</v>
      </c>
      <c r="F25" s="282">
        <f>D25-'[6]Marts'!D25</f>
        <v>764</v>
      </c>
      <c r="G25" s="205" t="s">
        <v>304</v>
      </c>
      <c r="H25" s="279">
        <f t="shared" si="4"/>
        <v>86</v>
      </c>
      <c r="I25" s="279">
        <f t="shared" si="4"/>
        <v>30</v>
      </c>
      <c r="J25" s="279">
        <f t="shared" si="4"/>
        <v>8</v>
      </c>
      <c r="K25" s="280">
        <f t="shared" si="1"/>
        <v>0.09302325581395349</v>
      </c>
      <c r="L25" s="279">
        <f>J25-'[6]Marts'!J25</f>
        <v>1</v>
      </c>
      <c r="M25" s="265"/>
    </row>
    <row r="26" spans="1:13" ht="12.75">
      <c r="A26" s="26" t="s">
        <v>194</v>
      </c>
      <c r="B26" s="6"/>
      <c r="C26" s="200"/>
      <c r="D26" s="6"/>
      <c r="E26" s="278" t="str">
        <f t="shared" si="0"/>
        <v> </v>
      </c>
      <c r="F26" s="276"/>
      <c r="G26" s="26" t="s">
        <v>194</v>
      </c>
      <c r="H26" s="272"/>
      <c r="I26" s="272"/>
      <c r="J26" s="272"/>
      <c r="K26" s="280"/>
      <c r="L26" s="272"/>
      <c r="M26" s="265"/>
    </row>
    <row r="27" spans="1:13" ht="33.75" customHeight="1">
      <c r="A27" s="91" t="s">
        <v>314</v>
      </c>
      <c r="B27" s="277"/>
      <c r="C27" s="284"/>
      <c r="D27" s="277"/>
      <c r="E27" s="278" t="str">
        <f t="shared" si="0"/>
        <v> </v>
      </c>
      <c r="F27" s="282"/>
      <c r="G27" s="91" t="s">
        <v>314</v>
      </c>
      <c r="H27" s="283"/>
      <c r="I27" s="283"/>
      <c r="J27" s="283"/>
      <c r="K27" s="280"/>
      <c r="L27" s="283"/>
      <c r="M27" s="265"/>
    </row>
    <row r="28" spans="1:13" ht="12.75">
      <c r="A28" s="205" t="s">
        <v>310</v>
      </c>
      <c r="B28" s="277">
        <f>B29+B30</f>
        <v>2065000</v>
      </c>
      <c r="C28" s="277">
        <v>729730</v>
      </c>
      <c r="D28" s="277">
        <f>SUM(D29:D30)</f>
        <v>1014543</v>
      </c>
      <c r="E28" s="278">
        <f t="shared" si="0"/>
        <v>0.49130411622276027</v>
      </c>
      <c r="F28" s="282">
        <f>F29+F30</f>
        <v>227705</v>
      </c>
      <c r="G28" s="205" t="s">
        <v>310</v>
      </c>
      <c r="H28" s="283">
        <f>H29+H30</f>
        <v>2065</v>
      </c>
      <c r="I28" s="279">
        <f>ROUND(C28/1000,0)</f>
        <v>730</v>
      </c>
      <c r="J28" s="283">
        <f>J29+J30</f>
        <v>1014</v>
      </c>
      <c r="K28" s="280">
        <f t="shared" si="1"/>
        <v>0.4910411622276029</v>
      </c>
      <c r="L28" s="283">
        <f>SUM(L29:L30)</f>
        <v>227</v>
      </c>
      <c r="M28" s="265"/>
    </row>
    <row r="29" spans="1:13" ht="12.75">
      <c r="A29" s="63" t="s">
        <v>315</v>
      </c>
      <c r="B29" s="277">
        <v>1755000</v>
      </c>
      <c r="C29" s="284"/>
      <c r="D29" s="277">
        <f>1014543-258325</f>
        <v>756218</v>
      </c>
      <c r="E29" s="278">
        <f t="shared" si="0"/>
        <v>0.4308934472934473</v>
      </c>
      <c r="F29" s="282">
        <f>D29-'[6]Marts'!D29</f>
        <v>218004</v>
      </c>
      <c r="G29" s="63" t="s">
        <v>315</v>
      </c>
      <c r="H29" s="279">
        <f>ROUND(B29/1000,0)</f>
        <v>1755</v>
      </c>
      <c r="I29" s="279">
        <f>ROUND(C29/1000,0)</f>
        <v>0</v>
      </c>
      <c r="J29" s="279">
        <f>ROUND(D29/1000,0)</f>
        <v>756</v>
      </c>
      <c r="K29" s="280">
        <f t="shared" si="1"/>
        <v>0.4307692307692308</v>
      </c>
      <c r="L29" s="279">
        <f>J29-'[6]Marts'!J29</f>
        <v>218</v>
      </c>
      <c r="M29" s="265"/>
    </row>
    <row r="30" spans="1:13" ht="12.75">
      <c r="A30" s="244" t="s">
        <v>316</v>
      </c>
      <c r="B30" s="277">
        <v>310000</v>
      </c>
      <c r="C30" s="284"/>
      <c r="D30" s="277">
        <f>9108+51802+197415</f>
        <v>258325</v>
      </c>
      <c r="E30" s="278">
        <f t="shared" si="0"/>
        <v>0.8333064516129032</v>
      </c>
      <c r="F30" s="282">
        <f>D30-'[6]Marts'!D30</f>
        <v>9701</v>
      </c>
      <c r="G30" s="244" t="s">
        <v>316</v>
      </c>
      <c r="H30" s="279">
        <f>ROUND(B30/1000,0)</f>
        <v>310</v>
      </c>
      <c r="I30" s="279">
        <f>ROUND(C30/1000,0)</f>
        <v>0</v>
      </c>
      <c r="J30" s="279">
        <f>ROUND(D30/1000,0)</f>
        <v>258</v>
      </c>
      <c r="K30" s="280">
        <f t="shared" si="1"/>
        <v>0.832258064516129</v>
      </c>
      <c r="L30" s="279">
        <f>J30-'[6]Marts'!J30</f>
        <v>9</v>
      </c>
      <c r="M30" s="265"/>
    </row>
    <row r="31" spans="1:13" ht="12.75">
      <c r="A31" s="205" t="s">
        <v>312</v>
      </c>
      <c r="B31" s="277">
        <f>B32</f>
        <v>1320000</v>
      </c>
      <c r="C31" s="284">
        <f>SUM(C32)</f>
        <v>469650</v>
      </c>
      <c r="D31" s="277">
        <f>D32</f>
        <v>186058</v>
      </c>
      <c r="E31" s="278">
        <f t="shared" si="0"/>
        <v>0.1409530303030303</v>
      </c>
      <c r="F31" s="282">
        <f>F32</f>
        <v>36338</v>
      </c>
      <c r="G31" s="205" t="s">
        <v>312</v>
      </c>
      <c r="H31" s="283">
        <f>H32</f>
        <v>1320</v>
      </c>
      <c r="I31" s="283">
        <f>I32</f>
        <v>470</v>
      </c>
      <c r="J31" s="283">
        <f>J32</f>
        <v>186</v>
      </c>
      <c r="K31" s="280">
        <f t="shared" si="1"/>
        <v>0.1409090909090909</v>
      </c>
      <c r="L31" s="283">
        <f>L32</f>
        <v>36</v>
      </c>
      <c r="M31" s="265"/>
    </row>
    <row r="32" spans="1:13" ht="12.75">
      <c r="A32" s="205" t="s">
        <v>313</v>
      </c>
      <c r="B32" s="277">
        <v>1320000</v>
      </c>
      <c r="C32" s="284">
        <v>469650</v>
      </c>
      <c r="D32" s="277">
        <v>186058</v>
      </c>
      <c r="E32" s="278">
        <f t="shared" si="0"/>
        <v>0.1409530303030303</v>
      </c>
      <c r="F32" s="282">
        <f>D32-'[6]Marts'!D32</f>
        <v>36338</v>
      </c>
      <c r="G32" s="205" t="s">
        <v>313</v>
      </c>
      <c r="H32" s="279">
        <f>ROUND(B32/1000,0)</f>
        <v>1320</v>
      </c>
      <c r="I32" s="279">
        <f>ROUND(C32/1000,0)</f>
        <v>470</v>
      </c>
      <c r="J32" s="279">
        <f>ROUND(D32/1000,0)</f>
        <v>186</v>
      </c>
      <c r="K32" s="280">
        <f t="shared" si="1"/>
        <v>0.1409090909090909</v>
      </c>
      <c r="L32" s="279">
        <f>J32-'[6]Marts'!J32</f>
        <v>36</v>
      </c>
      <c r="M32" s="265"/>
    </row>
    <row r="33" spans="1:13" ht="25.5">
      <c r="A33" s="91" t="s">
        <v>317</v>
      </c>
      <c r="B33" s="219"/>
      <c r="C33" s="284"/>
      <c r="D33" s="219"/>
      <c r="E33" s="278" t="str">
        <f>IF(ISERROR(D33/B33)," ",(D33/B33))</f>
        <v> </v>
      </c>
      <c r="F33" s="285"/>
      <c r="G33" s="91" t="s">
        <v>317</v>
      </c>
      <c r="H33" s="286"/>
      <c r="I33" s="286"/>
      <c r="J33" s="286"/>
      <c r="K33" s="280"/>
      <c r="L33" s="286"/>
      <c r="M33" s="265"/>
    </row>
    <row r="34" spans="1:13" ht="12.75">
      <c r="A34" s="205" t="s">
        <v>310</v>
      </c>
      <c r="B34" s="277">
        <f>B35</f>
        <v>750000</v>
      </c>
      <c r="C34" s="284">
        <f>SUM(C35)</f>
        <v>376000</v>
      </c>
      <c r="D34" s="277">
        <f>D35</f>
        <v>499489</v>
      </c>
      <c r="E34" s="278">
        <f>IF(ISERROR(D34/B34)," ",(D34/B34))</f>
        <v>0.6659853333333333</v>
      </c>
      <c r="F34" s="277">
        <f>F35</f>
        <v>249494</v>
      </c>
      <c r="G34" s="205" t="s">
        <v>310</v>
      </c>
      <c r="H34" s="277">
        <f>H35</f>
        <v>750</v>
      </c>
      <c r="I34" s="279">
        <f>ROUND(C34/1000,0)</f>
        <v>376</v>
      </c>
      <c r="J34" s="277">
        <f>J35</f>
        <v>499</v>
      </c>
      <c r="K34" s="280">
        <f>IF(ISERROR(ROUND(J34,0)/ROUND(H34,0))," ",(ROUND(J34,)/ROUND(H34,)))</f>
        <v>0.6653333333333333</v>
      </c>
      <c r="L34" s="277">
        <f>L35</f>
        <v>249</v>
      </c>
      <c r="M34" s="265"/>
    </row>
    <row r="35" spans="1:13" ht="12.75">
      <c r="A35" s="287" t="s">
        <v>318</v>
      </c>
      <c r="B35" s="225">
        <v>750000</v>
      </c>
      <c r="C35" s="288">
        <v>376000</v>
      </c>
      <c r="D35" s="225">
        <v>499489</v>
      </c>
      <c r="E35" s="278">
        <f>IF(ISERROR(D35/B35)," ",(D35/B35))</f>
        <v>0.6659853333333333</v>
      </c>
      <c r="F35" s="282">
        <f>D35-'[6]Marts'!D35</f>
        <v>249494</v>
      </c>
      <c r="G35" s="287" t="s">
        <v>319</v>
      </c>
      <c r="H35" s="279">
        <f>ROUND(B35/1000,0)</f>
        <v>750</v>
      </c>
      <c r="I35" s="279">
        <f>ROUND(C35/1000,0)</f>
        <v>376</v>
      </c>
      <c r="J35" s="279">
        <f>ROUND(D35/1000,0)</f>
        <v>499</v>
      </c>
      <c r="K35" s="280">
        <f>IF(ISERROR(ROUND(J35,0)/ROUND(H35,0))," ",(ROUND(J35,)/ROUND(H35,)))</f>
        <v>0.6653333333333333</v>
      </c>
      <c r="L35" s="279">
        <f>J35-'[6]Marts'!J35</f>
        <v>249</v>
      </c>
      <c r="M35" s="265"/>
    </row>
    <row r="36" spans="1:13" ht="12.75">
      <c r="A36" s="205" t="s">
        <v>312</v>
      </c>
      <c r="B36" s="277">
        <f>B37</f>
        <v>53300</v>
      </c>
      <c r="C36" s="284">
        <f>SUM(C37)</f>
        <v>20000</v>
      </c>
      <c r="D36" s="277">
        <f>D37</f>
        <v>13290</v>
      </c>
      <c r="E36" s="278">
        <f>IF(ISERROR(D36/B36)," ",(D36/B36))</f>
        <v>0.24934333958724203</v>
      </c>
      <c r="F36" s="282">
        <f>F37</f>
        <v>3376</v>
      </c>
      <c r="G36" s="205" t="s">
        <v>312</v>
      </c>
      <c r="H36" s="283">
        <f>H37</f>
        <v>53</v>
      </c>
      <c r="I36" s="283">
        <f>I37</f>
        <v>20</v>
      </c>
      <c r="J36" s="283">
        <f>J37</f>
        <v>13</v>
      </c>
      <c r="K36" s="280">
        <f>IF(ISERROR(ROUND(J36,0)/ROUND(H36,0))," ",(ROUND(J36,)/ROUND(H36,)))</f>
        <v>0.24528301886792453</v>
      </c>
      <c r="L36" s="283">
        <f>L37</f>
        <v>3</v>
      </c>
      <c r="M36" s="265"/>
    </row>
    <row r="37" spans="1:13" ht="12.75">
      <c r="A37" s="205" t="s">
        <v>313</v>
      </c>
      <c r="B37" s="289">
        <v>53300</v>
      </c>
      <c r="C37" s="284">
        <v>20000</v>
      </c>
      <c r="D37" s="277">
        <v>13290</v>
      </c>
      <c r="E37" s="278">
        <f>IF(ISERROR(D37/B37)," ",(D37/B37))</f>
        <v>0.24934333958724203</v>
      </c>
      <c r="F37" s="282">
        <f>D37-'[6]Marts'!D37</f>
        <v>3376</v>
      </c>
      <c r="G37" s="205" t="s">
        <v>320</v>
      </c>
      <c r="H37" s="279">
        <f>ROUND(B37/1000,0)</f>
        <v>53</v>
      </c>
      <c r="I37" s="279">
        <f>ROUND(C37/1000,0)</f>
        <v>20</v>
      </c>
      <c r="J37" s="279">
        <f>ROUND(D37/1000,0)</f>
        <v>13</v>
      </c>
      <c r="K37" s="280">
        <f>IF(ISERROR(ROUND(J37,0)/ROUND(H37,0))," ",(ROUND(J37,)/ROUND(H37,)))</f>
        <v>0.24528301886792453</v>
      </c>
      <c r="L37" s="279">
        <f>J37-'[6]Marts'!J37</f>
        <v>3</v>
      </c>
      <c r="M37" s="265"/>
    </row>
    <row r="38" spans="1:13" ht="12.75">
      <c r="A38" s="26" t="s">
        <v>196</v>
      </c>
      <c r="B38" s="6"/>
      <c r="C38" s="200"/>
      <c r="D38" s="277"/>
      <c r="E38" s="278" t="str">
        <f t="shared" si="0"/>
        <v> </v>
      </c>
      <c r="F38" s="276"/>
      <c r="G38" s="26" t="s">
        <v>196</v>
      </c>
      <c r="H38" s="272"/>
      <c r="I38" s="272"/>
      <c r="J38" s="272"/>
      <c r="K38" s="280"/>
      <c r="L38" s="272"/>
      <c r="M38" s="265"/>
    </row>
    <row r="39" spans="1:13" ht="12.75">
      <c r="A39" s="213" t="s">
        <v>321</v>
      </c>
      <c r="B39" s="277"/>
      <c r="C39" s="284"/>
      <c r="D39" s="277"/>
      <c r="E39" s="278" t="str">
        <f t="shared" si="0"/>
        <v> </v>
      </c>
      <c r="F39" s="282"/>
      <c r="G39" s="213" t="s">
        <v>321</v>
      </c>
      <c r="H39" s="283"/>
      <c r="I39" s="283"/>
      <c r="J39" s="283"/>
      <c r="K39" s="280"/>
      <c r="L39" s="283"/>
      <c r="M39" s="265"/>
    </row>
    <row r="40" spans="1:13" ht="12.75">
      <c r="A40" s="205" t="s">
        <v>310</v>
      </c>
      <c r="B40" s="277">
        <f>B41</f>
        <v>1550000</v>
      </c>
      <c r="C40" s="284">
        <f>SUM(C41)</f>
        <v>897100</v>
      </c>
      <c r="D40" s="277">
        <f>D41</f>
        <v>777100</v>
      </c>
      <c r="E40" s="278">
        <f t="shared" si="0"/>
        <v>0.5013548387096775</v>
      </c>
      <c r="F40" s="282">
        <f>F41</f>
        <v>0</v>
      </c>
      <c r="G40" s="205" t="s">
        <v>310</v>
      </c>
      <c r="H40" s="283">
        <f>H41</f>
        <v>1550</v>
      </c>
      <c r="I40" s="279">
        <f>ROUND(C40/1000,0)</f>
        <v>897</v>
      </c>
      <c r="J40" s="283">
        <f>J41</f>
        <v>777</v>
      </c>
      <c r="K40" s="280">
        <f t="shared" si="1"/>
        <v>0.5012903225806452</v>
      </c>
      <c r="L40" s="283">
        <f>L41</f>
        <v>0</v>
      </c>
      <c r="M40" s="265"/>
    </row>
    <row r="41" spans="1:13" ht="12.75">
      <c r="A41" s="63" t="s">
        <v>322</v>
      </c>
      <c r="B41" s="277">
        <v>1550000</v>
      </c>
      <c r="C41" s="284">
        <v>897100</v>
      </c>
      <c r="D41" s="277">
        <v>777100</v>
      </c>
      <c r="E41" s="278">
        <f t="shared" si="0"/>
        <v>0.5013548387096775</v>
      </c>
      <c r="F41" s="282">
        <f>D41-'[6]Marts'!D41</f>
        <v>0</v>
      </c>
      <c r="G41" s="63" t="s">
        <v>322</v>
      </c>
      <c r="H41" s="279">
        <f>ROUND(B41/1000,0)</f>
        <v>1550</v>
      </c>
      <c r="I41" s="279">
        <f>ROUND(C41/1000,0)</f>
        <v>897</v>
      </c>
      <c r="J41" s="279">
        <f>ROUND(D41/1000,0)</f>
        <v>777</v>
      </c>
      <c r="K41" s="280">
        <f t="shared" si="1"/>
        <v>0.5012903225806452</v>
      </c>
      <c r="L41" s="279">
        <f>J41-'[6]Marts'!J41</f>
        <v>0</v>
      </c>
      <c r="M41" s="265"/>
    </row>
    <row r="42" spans="1:13" ht="12.75">
      <c r="A42" s="205" t="s">
        <v>312</v>
      </c>
      <c r="B42" s="277">
        <f>B43+B45</f>
        <v>1550000</v>
      </c>
      <c r="C42" s="284">
        <f>SUM(C43:C45)</f>
        <v>897100</v>
      </c>
      <c r="D42" s="277">
        <f>D43+D45</f>
        <v>869972</v>
      </c>
      <c r="E42" s="278">
        <f t="shared" si="0"/>
        <v>0.5612722580645161</v>
      </c>
      <c r="F42" s="282">
        <f>F43+F45</f>
        <v>111439</v>
      </c>
      <c r="G42" s="205" t="s">
        <v>312</v>
      </c>
      <c r="H42" s="283">
        <f>H43+H45</f>
        <v>1550</v>
      </c>
      <c r="I42" s="283">
        <f>I43+I45</f>
        <v>897</v>
      </c>
      <c r="J42" s="283">
        <f>J43+J45</f>
        <v>870</v>
      </c>
      <c r="K42" s="280">
        <f t="shared" si="1"/>
        <v>0.5612903225806452</v>
      </c>
      <c r="L42" s="283">
        <f>L43+L45</f>
        <v>111</v>
      </c>
      <c r="M42" s="265"/>
    </row>
    <row r="43" spans="1:13" ht="12.75">
      <c r="A43" s="205" t="s">
        <v>313</v>
      </c>
      <c r="B43" s="277">
        <v>1292000</v>
      </c>
      <c r="C43" s="284">
        <v>694034</v>
      </c>
      <c r="D43" s="277">
        <v>668972</v>
      </c>
      <c r="E43" s="278">
        <f t="shared" si="0"/>
        <v>0.5177801857585139</v>
      </c>
      <c r="F43" s="282">
        <f>D43-'[6]Marts'!D43</f>
        <v>54939</v>
      </c>
      <c r="G43" s="205" t="s">
        <v>323</v>
      </c>
      <c r="H43" s="279">
        <f>ROUND(B43/1000,0)</f>
        <v>1292</v>
      </c>
      <c r="I43" s="279">
        <f>ROUND(C43/1000,0)</f>
        <v>694</v>
      </c>
      <c r="J43" s="279">
        <f>ROUND(D43/1000,0)</f>
        <v>669</v>
      </c>
      <c r="K43" s="280">
        <f t="shared" si="1"/>
        <v>0.5178018575851393</v>
      </c>
      <c r="L43" s="279">
        <f>J43-'[6]Marts'!J43</f>
        <v>55</v>
      </c>
      <c r="M43" s="265"/>
    </row>
    <row r="44" spans="1:13" ht="12.75">
      <c r="A44" s="205" t="s">
        <v>324</v>
      </c>
      <c r="B44" s="277">
        <v>300000</v>
      </c>
      <c r="C44" s="284"/>
      <c r="D44" s="277">
        <v>300000</v>
      </c>
      <c r="E44" s="278">
        <f t="shared" si="0"/>
        <v>1</v>
      </c>
      <c r="F44" s="282">
        <f>D44-'[6]Marts'!D44</f>
        <v>0</v>
      </c>
      <c r="G44" s="205" t="s">
        <v>325</v>
      </c>
      <c r="H44" s="279">
        <f>ROUND(B44/1000,0)</f>
        <v>300</v>
      </c>
      <c r="I44" s="279"/>
      <c r="J44" s="279">
        <f>ROUND(D44/1000,0)</f>
        <v>300</v>
      </c>
      <c r="K44" s="280">
        <f t="shared" si="1"/>
        <v>1</v>
      </c>
      <c r="L44" s="279">
        <f>J44</f>
        <v>300</v>
      </c>
      <c r="M44" s="265"/>
    </row>
    <row r="45" spans="1:13" ht="12.75">
      <c r="A45" s="205" t="s">
        <v>304</v>
      </c>
      <c r="B45" s="277">
        <v>258000</v>
      </c>
      <c r="C45" s="284">
        <v>203066</v>
      </c>
      <c r="D45" s="277">
        <v>201000</v>
      </c>
      <c r="E45" s="278">
        <f t="shared" si="0"/>
        <v>0.7790697674418605</v>
      </c>
      <c r="F45" s="282">
        <f>D45-'[6]Marts'!D45</f>
        <v>56500</v>
      </c>
      <c r="G45" s="205" t="s">
        <v>326</v>
      </c>
      <c r="H45" s="279">
        <f>ROUND(B45/1000,0)</f>
        <v>258</v>
      </c>
      <c r="I45" s="279">
        <f>ROUND(C45/1000,0)</f>
        <v>203</v>
      </c>
      <c r="J45" s="279">
        <f>ROUND(D45/1000,0)</f>
        <v>201</v>
      </c>
      <c r="K45" s="280">
        <f t="shared" si="1"/>
        <v>0.7790697674418605</v>
      </c>
      <c r="L45" s="279">
        <f>J45-'[6]Marts'!J45</f>
        <v>56</v>
      </c>
      <c r="M45" s="265"/>
    </row>
    <row r="46" spans="1:13" ht="12.75">
      <c r="A46" s="91" t="s">
        <v>327</v>
      </c>
      <c r="B46" s="277"/>
      <c r="C46" s="284"/>
      <c r="D46" s="277"/>
      <c r="E46" s="278" t="str">
        <f t="shared" si="0"/>
        <v> </v>
      </c>
      <c r="F46" s="282"/>
      <c r="G46" s="91" t="s">
        <v>327</v>
      </c>
      <c r="H46" s="283"/>
      <c r="I46" s="283"/>
      <c r="J46" s="283"/>
      <c r="K46" s="280"/>
      <c r="L46" s="283"/>
      <c r="M46" s="265"/>
    </row>
    <row r="47" spans="1:13" ht="12.75">
      <c r="A47" s="205" t="s">
        <v>310</v>
      </c>
      <c r="B47" s="277">
        <f>B48</f>
        <v>1181629</v>
      </c>
      <c r="C47" s="284">
        <f>SUM(C48)</f>
        <v>410887</v>
      </c>
      <c r="D47" s="277">
        <f>D48</f>
        <v>410911</v>
      </c>
      <c r="E47" s="278">
        <f t="shared" si="0"/>
        <v>0.3477495897612533</v>
      </c>
      <c r="F47" s="282">
        <f>F48</f>
        <v>226213</v>
      </c>
      <c r="G47" s="205" t="s">
        <v>310</v>
      </c>
      <c r="H47" s="283">
        <f>H48</f>
        <v>1182</v>
      </c>
      <c r="I47" s="279">
        <f>ROUND(C47/1000,0)</f>
        <v>411</v>
      </c>
      <c r="J47" s="283">
        <f>J48</f>
        <v>411</v>
      </c>
      <c r="K47" s="280">
        <f t="shared" si="1"/>
        <v>0.3477157360406091</v>
      </c>
      <c r="L47" s="283">
        <f>L48</f>
        <v>226</v>
      </c>
      <c r="M47" s="265"/>
    </row>
    <row r="48" spans="1:13" ht="12.75">
      <c r="A48" s="63" t="s">
        <v>322</v>
      </c>
      <c r="B48" s="277">
        <v>1181629</v>
      </c>
      <c r="C48" s="284">
        <v>410887</v>
      </c>
      <c r="D48" s="277">
        <v>410911</v>
      </c>
      <c r="E48" s="278">
        <f t="shared" si="0"/>
        <v>0.3477495897612533</v>
      </c>
      <c r="F48" s="282">
        <f>D48-'[6]Marts'!D48</f>
        <v>226213</v>
      </c>
      <c r="G48" s="63" t="s">
        <v>322</v>
      </c>
      <c r="H48" s="279">
        <f>ROUND(B48/1000,0)</f>
        <v>1182</v>
      </c>
      <c r="I48" s="279">
        <f>ROUND(C48/1000,0)</f>
        <v>411</v>
      </c>
      <c r="J48" s="279">
        <f>ROUND(D48/1000,0)</f>
        <v>411</v>
      </c>
      <c r="K48" s="280">
        <f t="shared" si="1"/>
        <v>0.3477157360406091</v>
      </c>
      <c r="L48" s="279">
        <f>J48-'[6]Marts'!J48</f>
        <v>226</v>
      </c>
      <c r="M48" s="265"/>
    </row>
    <row r="49" spans="1:13" ht="12.75">
      <c r="A49" s="205" t="s">
        <v>312</v>
      </c>
      <c r="B49" s="277">
        <f>B50+B51</f>
        <v>1198009</v>
      </c>
      <c r="C49" s="284">
        <f>SUM(C50:C51)</f>
        <v>414815</v>
      </c>
      <c r="D49" s="277">
        <f>D50+D51</f>
        <v>227624</v>
      </c>
      <c r="E49" s="278">
        <f t="shared" si="0"/>
        <v>0.19000191150483844</v>
      </c>
      <c r="F49" s="282">
        <f>F50+F51</f>
        <v>125692</v>
      </c>
      <c r="G49" s="205" t="s">
        <v>312</v>
      </c>
      <c r="H49" s="283">
        <f>H50+H51</f>
        <v>1198</v>
      </c>
      <c r="I49" s="283">
        <f>I50+I51</f>
        <v>415</v>
      </c>
      <c r="J49" s="283">
        <f>J50+J51</f>
        <v>228</v>
      </c>
      <c r="K49" s="280">
        <f t="shared" si="1"/>
        <v>0.19031719532554256</v>
      </c>
      <c r="L49" s="283">
        <f>L50+L51</f>
        <v>126</v>
      </c>
      <c r="M49" s="265"/>
    </row>
    <row r="50" spans="1:13" ht="12.75">
      <c r="A50" s="205" t="s">
        <v>313</v>
      </c>
      <c r="B50" s="277">
        <v>1193809</v>
      </c>
      <c r="C50" s="284">
        <v>412595</v>
      </c>
      <c r="D50" s="277">
        <v>227624</v>
      </c>
      <c r="E50" s="278">
        <f t="shared" si="0"/>
        <v>0.19067036686773178</v>
      </c>
      <c r="F50" s="282">
        <f>D50-'[6]Marts'!D50</f>
        <v>125692</v>
      </c>
      <c r="G50" s="205" t="s">
        <v>323</v>
      </c>
      <c r="H50" s="279">
        <f aca="true" t="shared" si="5" ref="H50:J55">ROUND(B50/1000,0)</f>
        <v>1194</v>
      </c>
      <c r="I50" s="279">
        <f t="shared" si="5"/>
        <v>413</v>
      </c>
      <c r="J50" s="279">
        <f t="shared" si="5"/>
        <v>228</v>
      </c>
      <c r="K50" s="280">
        <f t="shared" si="1"/>
        <v>0.19095477386934673</v>
      </c>
      <c r="L50" s="279">
        <f>J50-'[6]Marts'!J50</f>
        <v>126</v>
      </c>
      <c r="M50" s="265"/>
    </row>
    <row r="51" spans="1:13" ht="12.75">
      <c r="A51" s="205" t="s">
        <v>304</v>
      </c>
      <c r="B51" s="277">
        <v>4200</v>
      </c>
      <c r="C51" s="284">
        <v>2220</v>
      </c>
      <c r="D51" s="277"/>
      <c r="E51" s="278">
        <f t="shared" si="0"/>
        <v>0</v>
      </c>
      <c r="F51" s="282">
        <f>D51-'[6]Marts'!D51</f>
        <v>0</v>
      </c>
      <c r="G51" s="205" t="s">
        <v>326</v>
      </c>
      <c r="H51" s="279">
        <f t="shared" si="5"/>
        <v>4</v>
      </c>
      <c r="I51" s="279">
        <f t="shared" si="5"/>
        <v>2</v>
      </c>
      <c r="J51" s="279">
        <f t="shared" si="5"/>
        <v>0</v>
      </c>
      <c r="K51" s="280">
        <f t="shared" si="1"/>
        <v>0</v>
      </c>
      <c r="L51" s="279">
        <f>J51-'[6]Marts'!J51</f>
        <v>0</v>
      </c>
      <c r="M51" s="265"/>
    </row>
    <row r="52" spans="1:13" ht="12.75">
      <c r="A52" s="205" t="s">
        <v>305</v>
      </c>
      <c r="B52" s="277">
        <v>6756000</v>
      </c>
      <c r="C52" s="284">
        <f>1859300+478100</f>
        <v>2337400</v>
      </c>
      <c r="D52" s="277">
        <v>1636863</v>
      </c>
      <c r="E52" s="278">
        <f t="shared" si="0"/>
        <v>0.24228285968028418</v>
      </c>
      <c r="F52" s="282">
        <f>D52-'[6]Marts'!D52</f>
        <v>534296</v>
      </c>
      <c r="G52" s="205" t="s">
        <v>305</v>
      </c>
      <c r="H52" s="279">
        <f t="shared" si="5"/>
        <v>6756</v>
      </c>
      <c r="I52" s="279">
        <f t="shared" si="5"/>
        <v>2337</v>
      </c>
      <c r="J52" s="279">
        <f t="shared" si="5"/>
        <v>1637</v>
      </c>
      <c r="K52" s="280">
        <f t="shared" si="1"/>
        <v>0.24230313795145056</v>
      </c>
      <c r="L52" s="279">
        <f>J52-'[6]Marts'!J52</f>
        <v>534</v>
      </c>
      <c r="M52" s="265"/>
    </row>
    <row r="53" spans="1:13" ht="12.75">
      <c r="A53" s="205" t="s">
        <v>306</v>
      </c>
      <c r="B53" s="277">
        <v>16380</v>
      </c>
      <c r="C53" s="284">
        <f>2946+982</f>
        <v>3928</v>
      </c>
      <c r="D53" s="277">
        <v>13098</v>
      </c>
      <c r="E53" s="278">
        <f t="shared" si="0"/>
        <v>0.7996336996336997</v>
      </c>
      <c r="F53" s="282">
        <f>D53-'[6]Marts'!D53</f>
        <v>1873</v>
      </c>
      <c r="G53" s="205" t="s">
        <v>306</v>
      </c>
      <c r="H53" s="279">
        <f t="shared" si="5"/>
        <v>16</v>
      </c>
      <c r="I53" s="279">
        <f t="shared" si="5"/>
        <v>4</v>
      </c>
      <c r="J53" s="279">
        <f t="shared" si="5"/>
        <v>13</v>
      </c>
      <c r="K53" s="280">
        <f t="shared" si="1"/>
        <v>0.8125</v>
      </c>
      <c r="L53" s="279">
        <f>J53-'[6]Marts'!J53</f>
        <v>2</v>
      </c>
      <c r="M53" s="265"/>
    </row>
    <row r="54" spans="1:13" ht="12.75">
      <c r="A54" s="205" t="s">
        <v>307</v>
      </c>
      <c r="B54" s="277">
        <f>B47-B49-B52+B53</f>
        <v>-6756000</v>
      </c>
      <c r="C54" s="284">
        <f>C47-C49-C52+C53</f>
        <v>-2337400</v>
      </c>
      <c r="D54" s="277">
        <f>D47-D49-D52+D53</f>
        <v>-1440478</v>
      </c>
      <c r="E54" s="278">
        <f t="shared" si="0"/>
        <v>0.21321462403789224</v>
      </c>
      <c r="F54" s="282">
        <f>D54-'[6]Marts'!D54</f>
        <v>-431902</v>
      </c>
      <c r="G54" s="205" t="s">
        <v>307</v>
      </c>
      <c r="H54" s="279">
        <f t="shared" si="5"/>
        <v>-6756</v>
      </c>
      <c r="I54" s="279">
        <f t="shared" si="5"/>
        <v>-2337</v>
      </c>
      <c r="J54" s="279">
        <f t="shared" si="5"/>
        <v>-1440</v>
      </c>
      <c r="K54" s="280">
        <f t="shared" si="1"/>
        <v>0.21314387211367672</v>
      </c>
      <c r="L54" s="279">
        <f>J54-'[6]Marts'!J54</f>
        <v>-431</v>
      </c>
      <c r="M54" s="265"/>
    </row>
    <row r="55" spans="1:13" ht="12.75">
      <c r="A55" s="205" t="s">
        <v>308</v>
      </c>
      <c r="B55" s="277">
        <v>6756000</v>
      </c>
      <c r="C55" s="284"/>
      <c r="D55" s="277">
        <v>1637443</v>
      </c>
      <c r="E55" s="278">
        <f t="shared" si="0"/>
        <v>0.24236870929544108</v>
      </c>
      <c r="F55" s="282">
        <f>D55-'[6]Marts'!D55</f>
        <v>534875</v>
      </c>
      <c r="G55" s="205" t="s">
        <v>308</v>
      </c>
      <c r="H55" s="279">
        <f t="shared" si="5"/>
        <v>6756</v>
      </c>
      <c r="I55" s="279">
        <f t="shared" si="5"/>
        <v>0</v>
      </c>
      <c r="J55" s="279">
        <f>ROUND(D55/1000,0)</f>
        <v>1637</v>
      </c>
      <c r="K55" s="280">
        <f t="shared" si="1"/>
        <v>0.24230313795145056</v>
      </c>
      <c r="L55" s="279">
        <f>J55-'[6]Marts'!J55</f>
        <v>535</v>
      </c>
      <c r="M55" s="265"/>
    </row>
    <row r="56" spans="1:13" ht="12.75">
      <c r="A56" s="71" t="s">
        <v>197</v>
      </c>
      <c r="B56" s="6"/>
      <c r="C56" s="200"/>
      <c r="D56" s="6"/>
      <c r="E56" s="278" t="str">
        <f t="shared" si="0"/>
        <v> </v>
      </c>
      <c r="F56" s="276"/>
      <c r="G56" s="71" t="s">
        <v>197</v>
      </c>
      <c r="H56" s="272"/>
      <c r="I56" s="272"/>
      <c r="J56" s="272"/>
      <c r="K56" s="280"/>
      <c r="L56" s="272"/>
      <c r="M56" s="265"/>
    </row>
    <row r="57" spans="1:13" ht="12.75">
      <c r="A57" s="213" t="s">
        <v>328</v>
      </c>
      <c r="B57" s="277"/>
      <c r="C57" s="284"/>
      <c r="D57" s="277"/>
      <c r="E57" s="278" t="str">
        <f t="shared" si="0"/>
        <v> </v>
      </c>
      <c r="F57" s="282"/>
      <c r="G57" s="213" t="s">
        <v>328</v>
      </c>
      <c r="H57" s="283"/>
      <c r="I57" s="283"/>
      <c r="J57" s="283"/>
      <c r="K57" s="280"/>
      <c r="L57" s="283"/>
      <c r="M57" s="265"/>
    </row>
    <row r="58" spans="1:13" ht="12.75">
      <c r="A58" s="205" t="s">
        <v>310</v>
      </c>
      <c r="B58" s="284">
        <f>B59+B60</f>
        <v>500000</v>
      </c>
      <c r="C58" s="277">
        <v>208000</v>
      </c>
      <c r="D58" s="277">
        <f>D59+D60</f>
        <v>333436</v>
      </c>
      <c r="E58" s="278">
        <f t="shared" si="0"/>
        <v>0.666872</v>
      </c>
      <c r="F58" s="282">
        <f>F59+F60</f>
        <v>196919</v>
      </c>
      <c r="G58" s="205" t="s">
        <v>310</v>
      </c>
      <c r="H58" s="283">
        <f>H59+H60</f>
        <v>500</v>
      </c>
      <c r="I58" s="279">
        <f>ROUND(C58/1000,0)</f>
        <v>208</v>
      </c>
      <c r="J58" s="283">
        <f>J59+J60</f>
        <v>333</v>
      </c>
      <c r="K58" s="280">
        <f t="shared" si="1"/>
        <v>0.666</v>
      </c>
      <c r="L58" s="283">
        <f>L59+L60</f>
        <v>197</v>
      </c>
      <c r="M58" s="265"/>
    </row>
    <row r="59" spans="1:13" ht="25.5">
      <c r="A59" s="63" t="s">
        <v>329</v>
      </c>
      <c r="B59" s="277">
        <v>300000</v>
      </c>
      <c r="C59" s="284"/>
      <c r="D59" s="277">
        <v>160258</v>
      </c>
      <c r="E59" s="278">
        <f t="shared" si="0"/>
        <v>0.5341933333333333</v>
      </c>
      <c r="F59" s="282">
        <f>D59-'[6]Marts'!D59</f>
        <v>45286</v>
      </c>
      <c r="G59" s="63" t="s">
        <v>329</v>
      </c>
      <c r="H59" s="279">
        <f>ROUND(B59/1000,0)</f>
        <v>300</v>
      </c>
      <c r="I59" s="279">
        <f>ROUND(C59/1000,0)</f>
        <v>0</v>
      </c>
      <c r="J59" s="279">
        <f>ROUND(D59/1000,0)</f>
        <v>160</v>
      </c>
      <c r="K59" s="280">
        <f t="shared" si="1"/>
        <v>0.5333333333333333</v>
      </c>
      <c r="L59" s="279">
        <f>J59-'[6]Marts'!J59</f>
        <v>45</v>
      </c>
      <c r="M59" s="265"/>
    </row>
    <row r="60" spans="1:13" ht="12.75">
      <c r="A60" s="205" t="s">
        <v>330</v>
      </c>
      <c r="B60" s="277">
        <v>200000</v>
      </c>
      <c r="C60" s="284"/>
      <c r="D60" s="277">
        <f>13971+159207</f>
        <v>173178</v>
      </c>
      <c r="E60" s="278">
        <f t="shared" si="0"/>
        <v>0.86589</v>
      </c>
      <c r="F60" s="282">
        <f>D60-'[6]Marts'!D60</f>
        <v>151633</v>
      </c>
      <c r="G60" s="63" t="s">
        <v>316</v>
      </c>
      <c r="H60" s="279">
        <f>ROUND(B60/1000,0)</f>
        <v>200</v>
      </c>
      <c r="I60" s="279">
        <f>ROUND(C60/1000,0)</f>
        <v>0</v>
      </c>
      <c r="J60" s="279">
        <f>ROUND(D60/1000,0)</f>
        <v>173</v>
      </c>
      <c r="K60" s="280">
        <f t="shared" si="1"/>
        <v>0.865</v>
      </c>
      <c r="L60" s="279">
        <f>J60-'[6]Marts'!J60</f>
        <v>152</v>
      </c>
      <c r="M60" s="265"/>
    </row>
    <row r="61" spans="1:13" ht="12.75">
      <c r="A61" s="205" t="s">
        <v>312</v>
      </c>
      <c r="B61" s="277">
        <f>B62+B63</f>
        <v>500000</v>
      </c>
      <c r="C61" s="284">
        <f>SUM(C62:C63)</f>
        <v>208000</v>
      </c>
      <c r="D61" s="277">
        <f>D62+D63</f>
        <v>151308</v>
      </c>
      <c r="E61" s="278">
        <f t="shared" si="0"/>
        <v>0.302616</v>
      </c>
      <c r="F61" s="282">
        <f>F62+F63</f>
        <v>60981</v>
      </c>
      <c r="G61" s="205" t="s">
        <v>312</v>
      </c>
      <c r="H61" s="283">
        <f>H62+H63</f>
        <v>500</v>
      </c>
      <c r="I61" s="283">
        <f>I62+I63</f>
        <v>208</v>
      </c>
      <c r="J61" s="283">
        <f>J62+J63</f>
        <v>151</v>
      </c>
      <c r="K61" s="280">
        <f t="shared" si="1"/>
        <v>0.302</v>
      </c>
      <c r="L61" s="283">
        <f>L62+L63</f>
        <v>61</v>
      </c>
      <c r="M61" s="265"/>
    </row>
    <row r="62" spans="1:13" ht="12.75">
      <c r="A62" s="205" t="s">
        <v>313</v>
      </c>
      <c r="B62" s="277">
        <v>406000</v>
      </c>
      <c r="C62" s="284">
        <v>195000</v>
      </c>
      <c r="D62" s="277">
        <v>143308</v>
      </c>
      <c r="E62" s="278">
        <f t="shared" si="0"/>
        <v>0.3529753694581281</v>
      </c>
      <c r="F62" s="282">
        <f>D62-'[6]Marts'!D62</f>
        <v>52981</v>
      </c>
      <c r="G62" s="205" t="s">
        <v>313</v>
      </c>
      <c r="H62" s="279">
        <f aca="true" t="shared" si="6" ref="H62:J63">ROUND(B62/1000,0)</f>
        <v>406</v>
      </c>
      <c r="I62" s="279">
        <f t="shared" si="6"/>
        <v>195</v>
      </c>
      <c r="J62" s="279">
        <f t="shared" si="6"/>
        <v>143</v>
      </c>
      <c r="K62" s="280">
        <f t="shared" si="1"/>
        <v>0.3522167487684729</v>
      </c>
      <c r="L62" s="279">
        <f>J62-'[6]Marts'!J62</f>
        <v>53</v>
      </c>
      <c r="M62" s="265"/>
    </row>
    <row r="63" spans="1:13" ht="12.75">
      <c r="A63" s="205" t="s">
        <v>304</v>
      </c>
      <c r="B63" s="277">
        <v>94000</v>
      </c>
      <c r="C63" s="284">
        <v>13000</v>
      </c>
      <c r="D63" s="277">
        <v>8000</v>
      </c>
      <c r="E63" s="278">
        <f t="shared" si="0"/>
        <v>0.0851063829787234</v>
      </c>
      <c r="F63" s="282">
        <f>D63-'[6]Marts'!D63</f>
        <v>8000</v>
      </c>
      <c r="G63" s="205" t="s">
        <v>304</v>
      </c>
      <c r="H63" s="279">
        <f t="shared" si="6"/>
        <v>94</v>
      </c>
      <c r="I63" s="279">
        <f t="shared" si="6"/>
        <v>13</v>
      </c>
      <c r="J63" s="279">
        <f t="shared" si="6"/>
        <v>8</v>
      </c>
      <c r="K63" s="280">
        <f t="shared" si="1"/>
        <v>0.0851063829787234</v>
      </c>
      <c r="L63" s="279">
        <f>J63-'[6]Marts'!J63</f>
        <v>8</v>
      </c>
      <c r="M63" s="265"/>
    </row>
    <row r="64" spans="1:13" ht="12.75">
      <c r="A64" s="26" t="s">
        <v>198</v>
      </c>
      <c r="B64" s="6"/>
      <c r="C64" s="200"/>
      <c r="D64" s="6"/>
      <c r="E64" s="278" t="str">
        <f t="shared" si="0"/>
        <v> </v>
      </c>
      <c r="F64" s="276"/>
      <c r="G64" s="26" t="s">
        <v>198</v>
      </c>
      <c r="H64" s="279"/>
      <c r="I64" s="279"/>
      <c r="J64" s="279"/>
      <c r="K64" s="280"/>
      <c r="L64" s="279"/>
      <c r="M64" s="265"/>
    </row>
    <row r="65" spans="1:13" ht="12.75">
      <c r="A65" s="213" t="s">
        <v>331</v>
      </c>
      <c r="B65" s="277"/>
      <c r="C65" s="284"/>
      <c r="D65" s="277"/>
      <c r="E65" s="278" t="str">
        <f t="shared" si="0"/>
        <v> </v>
      </c>
      <c r="F65" s="282"/>
      <c r="G65" s="213" t="s">
        <v>331</v>
      </c>
      <c r="H65" s="283"/>
      <c r="I65" s="283"/>
      <c r="J65" s="283"/>
      <c r="K65" s="280"/>
      <c r="L65" s="283"/>
      <c r="M65" s="265"/>
    </row>
    <row r="66" spans="1:13" ht="12.75">
      <c r="A66" s="205" t="s">
        <v>310</v>
      </c>
      <c r="B66" s="277">
        <f>SUM(B67:B70)</f>
        <v>65221252</v>
      </c>
      <c r="C66" s="277">
        <v>19149600</v>
      </c>
      <c r="D66" s="277">
        <f>SUM(D67:D70)</f>
        <v>16142742</v>
      </c>
      <c r="E66" s="278">
        <f t="shared" si="0"/>
        <v>0.24750739222240015</v>
      </c>
      <c r="F66" s="282">
        <f>SUM(F67:F70)</f>
        <v>4183164</v>
      </c>
      <c r="G66" s="205" t="s">
        <v>310</v>
      </c>
      <c r="H66" s="283">
        <f>SUM(H67:H70)</f>
        <v>65221</v>
      </c>
      <c r="I66" s="279">
        <f>ROUND(C66/1000,0)</f>
        <v>19150</v>
      </c>
      <c r="J66" s="283">
        <f>SUM(J67:J70)</f>
        <v>16143</v>
      </c>
      <c r="K66" s="280">
        <f t="shared" si="1"/>
        <v>0.24751230431916102</v>
      </c>
      <c r="L66" s="283">
        <f>SUM(L67:L70)</f>
        <v>4183</v>
      </c>
      <c r="M66" s="265"/>
    </row>
    <row r="67" spans="1:13" ht="12.75">
      <c r="A67" s="205" t="s">
        <v>332</v>
      </c>
      <c r="B67" s="277">
        <v>7800000</v>
      </c>
      <c r="C67" s="284"/>
      <c r="D67" s="277">
        <v>2957640</v>
      </c>
      <c r="E67" s="278">
        <f t="shared" si="0"/>
        <v>0.3791846153846154</v>
      </c>
      <c r="F67" s="282">
        <f>D67-'[6]Marts'!D67</f>
        <v>731332</v>
      </c>
      <c r="G67" s="205" t="s">
        <v>332</v>
      </c>
      <c r="H67" s="279">
        <f aca="true" t="shared" si="7" ref="H67:J70">ROUND(B67/1000,0)</f>
        <v>7800</v>
      </c>
      <c r="I67" s="279">
        <f t="shared" si="7"/>
        <v>0</v>
      </c>
      <c r="J67" s="279">
        <f t="shared" si="7"/>
        <v>2958</v>
      </c>
      <c r="K67" s="280">
        <f t="shared" si="1"/>
        <v>0.3792307692307692</v>
      </c>
      <c r="L67" s="279">
        <f>J67-'[6]Marts'!J67</f>
        <v>732</v>
      </c>
      <c r="M67" s="265"/>
    </row>
    <row r="68" spans="1:13" ht="12.75">
      <c r="A68" s="205" t="s">
        <v>333</v>
      </c>
      <c r="B68" s="277">
        <v>54000000</v>
      </c>
      <c r="C68" s="284"/>
      <c r="D68" s="277">
        <v>12984812</v>
      </c>
      <c r="E68" s="278">
        <f t="shared" si="0"/>
        <v>0.24045948148148147</v>
      </c>
      <c r="F68" s="282">
        <f>D68-'[6]Marts'!D68</f>
        <v>3413216</v>
      </c>
      <c r="G68" s="205" t="s">
        <v>333</v>
      </c>
      <c r="H68" s="279">
        <f t="shared" si="7"/>
        <v>54000</v>
      </c>
      <c r="I68" s="279">
        <f t="shared" si="7"/>
        <v>0</v>
      </c>
      <c r="J68" s="279">
        <f t="shared" si="7"/>
        <v>12985</v>
      </c>
      <c r="K68" s="280">
        <f t="shared" si="1"/>
        <v>0.24046296296296296</v>
      </c>
      <c r="L68" s="279">
        <f>J68-'[6]Marts'!J68</f>
        <v>3413</v>
      </c>
      <c r="M68" s="265"/>
    </row>
    <row r="69" spans="1:13" ht="12.75">
      <c r="A69" s="205" t="s">
        <v>239</v>
      </c>
      <c r="B69" s="277">
        <v>50000</v>
      </c>
      <c r="C69" s="284"/>
      <c r="D69" s="277">
        <v>10233</v>
      </c>
      <c r="E69" s="278">
        <f t="shared" si="0"/>
        <v>0.20466</v>
      </c>
      <c r="F69" s="282">
        <f>D69-'[6]Marts'!D69</f>
        <v>3320</v>
      </c>
      <c r="G69" s="205" t="s">
        <v>239</v>
      </c>
      <c r="H69" s="279">
        <f t="shared" si="7"/>
        <v>50</v>
      </c>
      <c r="I69" s="279">
        <f t="shared" si="7"/>
        <v>0</v>
      </c>
      <c r="J69" s="279">
        <f t="shared" si="7"/>
        <v>10</v>
      </c>
      <c r="K69" s="280">
        <f t="shared" si="1"/>
        <v>0.2</v>
      </c>
      <c r="L69" s="279">
        <f>J69-'[6]Marts'!J69</f>
        <v>3</v>
      </c>
      <c r="M69" s="265"/>
    </row>
    <row r="70" spans="1:13" ht="12.75">
      <c r="A70" s="205" t="s">
        <v>334</v>
      </c>
      <c r="B70" s="277">
        <v>3371252</v>
      </c>
      <c r="C70" s="284"/>
      <c r="D70" s="277">
        <f>199776-9719</f>
        <v>190057</v>
      </c>
      <c r="E70" s="278">
        <f>IF(ISERROR(D70/B70)," ",(D70/B70))</f>
        <v>0.05637579154569282</v>
      </c>
      <c r="F70" s="282">
        <f>D70-'[6]Marts'!D70</f>
        <v>35296</v>
      </c>
      <c r="G70" s="205" t="s">
        <v>335</v>
      </c>
      <c r="H70" s="279">
        <f t="shared" si="7"/>
        <v>3371</v>
      </c>
      <c r="I70" s="279">
        <f t="shared" si="7"/>
        <v>0</v>
      </c>
      <c r="J70" s="279">
        <f t="shared" si="7"/>
        <v>190</v>
      </c>
      <c r="K70" s="280">
        <f>IF(ISERROR(ROUND(J70,0)/ROUND(H70,0))," ",(ROUND(J70,)/ROUND(H70,)))</f>
        <v>0.05636309700385642</v>
      </c>
      <c r="L70" s="279">
        <f>J70-'[6]Marts'!J70</f>
        <v>35</v>
      </c>
      <c r="M70" s="265"/>
    </row>
    <row r="71" spans="1:13" ht="12.75">
      <c r="A71" s="205" t="s">
        <v>312</v>
      </c>
      <c r="B71" s="277">
        <f>B72+B73</f>
        <v>70621252</v>
      </c>
      <c r="C71" s="284">
        <f>SUM(C72:C73)</f>
        <v>23373132</v>
      </c>
      <c r="D71" s="277">
        <f>D72+D73</f>
        <v>19613691</v>
      </c>
      <c r="E71" s="278">
        <f t="shared" si="0"/>
        <v>0.2777307176598908</v>
      </c>
      <c r="F71" s="282">
        <f>F72+F73</f>
        <v>4406204</v>
      </c>
      <c r="G71" s="205" t="s">
        <v>312</v>
      </c>
      <c r="H71" s="283">
        <f>H72+H73</f>
        <v>70621</v>
      </c>
      <c r="I71" s="283">
        <f>I72+I73</f>
        <v>23373</v>
      </c>
      <c r="J71" s="283">
        <f>J72+J73</f>
        <v>19614</v>
      </c>
      <c r="K71" s="280">
        <f t="shared" si="1"/>
        <v>0.2777360841675989</v>
      </c>
      <c r="L71" s="283">
        <f>L72+L73</f>
        <v>4407</v>
      </c>
      <c r="M71" s="265"/>
    </row>
    <row r="72" spans="1:13" ht="12.75">
      <c r="A72" s="205" t="s">
        <v>313</v>
      </c>
      <c r="B72" s="277">
        <v>50450068</v>
      </c>
      <c r="C72" s="284">
        <v>19178200</v>
      </c>
      <c r="D72" s="277">
        <v>15415557</v>
      </c>
      <c r="E72" s="278">
        <f t="shared" si="0"/>
        <v>0.3055606783324851</v>
      </c>
      <c r="F72" s="282">
        <f>D72-'[6]Marts'!D72</f>
        <v>3364238</v>
      </c>
      <c r="G72" s="205" t="s">
        <v>313</v>
      </c>
      <c r="H72" s="279">
        <f aca="true" t="shared" si="8" ref="H72:J75">ROUND(B72/1000,0)</f>
        <v>50450</v>
      </c>
      <c r="I72" s="279">
        <f t="shared" si="8"/>
        <v>19178</v>
      </c>
      <c r="J72" s="279">
        <f>ROUND(D72/1000,0)</f>
        <v>15416</v>
      </c>
      <c r="K72" s="280">
        <f t="shared" si="1"/>
        <v>0.3055698711595639</v>
      </c>
      <c r="L72" s="279">
        <f>J72-'[6]Marts'!J72</f>
        <v>3365</v>
      </c>
      <c r="M72" s="265"/>
    </row>
    <row r="73" spans="1:13" ht="12.75">
      <c r="A73" s="205" t="s">
        <v>304</v>
      </c>
      <c r="B73" s="277">
        <v>20171184</v>
      </c>
      <c r="C73" s="284">
        <v>4194932</v>
      </c>
      <c r="D73" s="277">
        <v>4198134</v>
      </c>
      <c r="E73" s="278">
        <f t="shared" si="0"/>
        <v>0.20812531381400318</v>
      </c>
      <c r="F73" s="282">
        <f>D73-'[6]Marts'!D73</f>
        <v>1041966</v>
      </c>
      <c r="G73" s="205" t="s">
        <v>336</v>
      </c>
      <c r="H73" s="279">
        <f t="shared" si="8"/>
        <v>20171</v>
      </c>
      <c r="I73" s="279">
        <f t="shared" si="8"/>
        <v>4195</v>
      </c>
      <c r="J73" s="279">
        <f t="shared" si="8"/>
        <v>4198</v>
      </c>
      <c r="K73" s="280">
        <f t="shared" si="1"/>
        <v>0.20812056913390511</v>
      </c>
      <c r="L73" s="279">
        <f>J73-'[6]Marts'!J73</f>
        <v>1042</v>
      </c>
      <c r="M73" s="265"/>
    </row>
    <row r="74" spans="1:13" ht="12.75">
      <c r="A74" s="205" t="s">
        <v>307</v>
      </c>
      <c r="B74" s="277">
        <f>B66-B71</f>
        <v>-5400000</v>
      </c>
      <c r="C74" s="284">
        <f>C66-C71</f>
        <v>-4223532</v>
      </c>
      <c r="D74" s="277">
        <f>D66-D71</f>
        <v>-3470949</v>
      </c>
      <c r="E74" s="278">
        <f t="shared" si="0"/>
        <v>0.6427683333333334</v>
      </c>
      <c r="F74" s="282">
        <f>D74-'[6]Marts'!D74</f>
        <v>-223040</v>
      </c>
      <c r="G74" s="205" t="s">
        <v>307</v>
      </c>
      <c r="H74" s="283">
        <f>H66-H71</f>
        <v>-5400</v>
      </c>
      <c r="I74" s="283">
        <f>I66-I71</f>
        <v>-4223</v>
      </c>
      <c r="J74" s="283">
        <f>J66-J71</f>
        <v>-3471</v>
      </c>
      <c r="K74" s="280">
        <f t="shared" si="1"/>
        <v>0.6427777777777778</v>
      </c>
      <c r="L74" s="279">
        <f>J74-'[6]Marts'!J74</f>
        <v>-224</v>
      </c>
      <c r="M74" s="265"/>
    </row>
    <row r="75" spans="1:13" ht="12.75">
      <c r="A75" s="205" t="s">
        <v>308</v>
      </c>
      <c r="B75" s="277">
        <v>5400000</v>
      </c>
      <c r="C75" s="284"/>
      <c r="D75" s="277">
        <f>4187594-1213349</f>
        <v>2974245</v>
      </c>
      <c r="E75" s="278">
        <f t="shared" si="0"/>
        <v>0.5507861111111111</v>
      </c>
      <c r="F75" s="282">
        <f>D75-'[6]Marts'!D75</f>
        <v>-171065</v>
      </c>
      <c r="G75" s="205" t="s">
        <v>308</v>
      </c>
      <c r="H75" s="279">
        <f t="shared" si="8"/>
        <v>5400</v>
      </c>
      <c r="I75" s="279">
        <f t="shared" si="8"/>
        <v>0</v>
      </c>
      <c r="J75" s="279">
        <f t="shared" si="8"/>
        <v>2974</v>
      </c>
      <c r="K75" s="280">
        <f t="shared" si="1"/>
        <v>0.5507407407407408</v>
      </c>
      <c r="L75" s="279">
        <f>J75-'[6]Marts'!J75</f>
        <v>-171</v>
      </c>
      <c r="M75" s="265"/>
    </row>
    <row r="76" spans="1:13" ht="12.75">
      <c r="A76" s="213" t="s">
        <v>337</v>
      </c>
      <c r="B76" s="277"/>
      <c r="C76" s="284"/>
      <c r="D76" s="277"/>
      <c r="E76" s="278" t="str">
        <f aca="true" t="shared" si="9" ref="E76:E139">IF(ISERROR(D76/B76)," ",(D76/B76))</f>
        <v> </v>
      </c>
      <c r="F76" s="282"/>
      <c r="G76" s="213" t="s">
        <v>337</v>
      </c>
      <c r="H76" s="283"/>
      <c r="I76" s="283"/>
      <c r="J76" s="283"/>
      <c r="K76" s="280"/>
      <c r="L76" s="283"/>
      <c r="M76" s="265"/>
    </row>
    <row r="77" spans="1:13" ht="12.75">
      <c r="A77" s="205" t="s">
        <v>310</v>
      </c>
      <c r="B77" s="277">
        <f>B78+B79</f>
        <v>500000</v>
      </c>
      <c r="C77" s="284">
        <v>247600</v>
      </c>
      <c r="D77" s="277">
        <f>D78+D79</f>
        <v>260004</v>
      </c>
      <c r="E77" s="278">
        <f t="shared" si="9"/>
        <v>0.520008</v>
      </c>
      <c r="F77" s="282">
        <f>F78+F79</f>
        <v>99285</v>
      </c>
      <c r="G77" s="205" t="s">
        <v>310</v>
      </c>
      <c r="H77" s="283">
        <f>H78+H79</f>
        <v>500</v>
      </c>
      <c r="I77" s="279">
        <f>ROUND(C77/1000,0)</f>
        <v>248</v>
      </c>
      <c r="J77" s="283">
        <f>J78+J79</f>
        <v>260</v>
      </c>
      <c r="K77" s="280">
        <f aca="true" t="shared" si="10" ref="K77:K140">IF(ISERROR(ROUND(J77,0)/ROUND(H77,0))," ",(ROUND(J77,)/ROUND(H77,)))</f>
        <v>0.52</v>
      </c>
      <c r="L77" s="283">
        <f>L78+L79</f>
        <v>100</v>
      </c>
      <c r="M77" s="265"/>
    </row>
    <row r="78" spans="1:13" ht="12.75">
      <c r="A78" s="205" t="s">
        <v>338</v>
      </c>
      <c r="B78" s="277">
        <v>500000</v>
      </c>
      <c r="C78" s="284"/>
      <c r="D78" s="277">
        <v>256287</v>
      </c>
      <c r="E78" s="278">
        <f t="shared" si="9"/>
        <v>0.512574</v>
      </c>
      <c r="F78" s="282">
        <f>D78-'[6]Marts'!D78</f>
        <v>97882</v>
      </c>
      <c r="G78" s="205" t="s">
        <v>338</v>
      </c>
      <c r="H78" s="279">
        <f>ROUND(B78/1000,0)</f>
        <v>500</v>
      </c>
      <c r="I78" s="279">
        <f>ROUND(C78/1000,0)</f>
        <v>0</v>
      </c>
      <c r="J78" s="279">
        <f>ROUND(D78/1000,0)</f>
        <v>256</v>
      </c>
      <c r="K78" s="280">
        <f t="shared" si="10"/>
        <v>0.512</v>
      </c>
      <c r="L78" s="279">
        <f>J78-'[6]Marts'!J78</f>
        <v>98</v>
      </c>
      <c r="M78" s="265"/>
    </row>
    <row r="79" spans="1:13" ht="12.75">
      <c r="A79" s="205" t="s">
        <v>316</v>
      </c>
      <c r="B79" s="277"/>
      <c r="C79" s="284"/>
      <c r="D79" s="277">
        <v>3717</v>
      </c>
      <c r="E79" s="278" t="str">
        <f t="shared" si="9"/>
        <v> </v>
      </c>
      <c r="F79" s="282">
        <f>D79-'[6]Marts'!D79</f>
        <v>1403</v>
      </c>
      <c r="G79" s="205" t="s">
        <v>316</v>
      </c>
      <c r="H79" s="279">
        <f>ROUND(B79/1000,0)</f>
        <v>0</v>
      </c>
      <c r="I79" s="279">
        <f>ROUND(C79/1000,0)</f>
        <v>0</v>
      </c>
      <c r="J79" s="279">
        <f>ROUND(D79/1000,0)</f>
        <v>4</v>
      </c>
      <c r="K79" s="280" t="str">
        <f t="shared" si="10"/>
        <v> </v>
      </c>
      <c r="L79" s="279">
        <f>J79-'[6]Marts'!J79</f>
        <v>2</v>
      </c>
      <c r="M79" s="265"/>
    </row>
    <row r="80" spans="1:13" ht="12.75">
      <c r="A80" s="205" t="s">
        <v>312</v>
      </c>
      <c r="B80" s="277">
        <f>B81+B82</f>
        <v>500000</v>
      </c>
      <c r="C80" s="284">
        <f>SUM(C81:C82)</f>
        <v>247600</v>
      </c>
      <c r="D80" s="277">
        <f>D81+D82</f>
        <v>176289</v>
      </c>
      <c r="E80" s="278">
        <f t="shared" si="9"/>
        <v>0.352578</v>
      </c>
      <c r="F80" s="282">
        <f>F81+F82</f>
        <v>43291</v>
      </c>
      <c r="G80" s="205" t="s">
        <v>312</v>
      </c>
      <c r="H80" s="283">
        <f>H81+H82</f>
        <v>500</v>
      </c>
      <c r="I80" s="283">
        <f>I81+I82</f>
        <v>248</v>
      </c>
      <c r="J80" s="283">
        <f>J81+J82</f>
        <v>176</v>
      </c>
      <c r="K80" s="280">
        <f t="shared" si="10"/>
        <v>0.352</v>
      </c>
      <c r="L80" s="283">
        <f>L81+L82</f>
        <v>43</v>
      </c>
      <c r="M80" s="265"/>
    </row>
    <row r="81" spans="1:13" ht="12.75">
      <c r="A81" s="205" t="s">
        <v>313</v>
      </c>
      <c r="B81" s="277">
        <v>350000</v>
      </c>
      <c r="C81" s="284">
        <v>182600</v>
      </c>
      <c r="D81" s="277">
        <v>160061</v>
      </c>
      <c r="E81" s="278">
        <f t="shared" si="9"/>
        <v>0.45731714285714287</v>
      </c>
      <c r="F81" s="282">
        <f>D81-'[6]Marts'!D81</f>
        <v>38443</v>
      </c>
      <c r="G81" s="205" t="s">
        <v>313</v>
      </c>
      <c r="H81" s="279">
        <f aca="true" t="shared" si="11" ref="H81:J82">ROUND(B81/1000,0)</f>
        <v>350</v>
      </c>
      <c r="I81" s="279">
        <f t="shared" si="11"/>
        <v>183</v>
      </c>
      <c r="J81" s="279">
        <f t="shared" si="11"/>
        <v>160</v>
      </c>
      <c r="K81" s="280">
        <f t="shared" si="10"/>
        <v>0.45714285714285713</v>
      </c>
      <c r="L81" s="279">
        <f>J81-'[6]Marts'!J81</f>
        <v>38</v>
      </c>
      <c r="M81" s="265"/>
    </row>
    <row r="82" spans="1:13" ht="12.75">
      <c r="A82" s="205" t="s">
        <v>304</v>
      </c>
      <c r="B82" s="277">
        <v>150000</v>
      </c>
      <c r="C82" s="284">
        <v>65000</v>
      </c>
      <c r="D82" s="277">
        <v>16228</v>
      </c>
      <c r="E82" s="278">
        <f t="shared" si="9"/>
        <v>0.10818666666666667</v>
      </c>
      <c r="F82" s="282">
        <f>D82-'[6]Marts'!D82</f>
        <v>4848</v>
      </c>
      <c r="G82" s="205" t="s">
        <v>304</v>
      </c>
      <c r="H82" s="279">
        <f t="shared" si="11"/>
        <v>150</v>
      </c>
      <c r="I82" s="279">
        <f t="shared" si="11"/>
        <v>65</v>
      </c>
      <c r="J82" s="279">
        <f t="shared" si="11"/>
        <v>16</v>
      </c>
      <c r="K82" s="280">
        <f t="shared" si="10"/>
        <v>0.10666666666666667</v>
      </c>
      <c r="L82" s="279">
        <f>J82-'[6]Marts'!J82</f>
        <v>5</v>
      </c>
      <c r="M82" s="265"/>
    </row>
    <row r="83" spans="1:13" ht="12.75">
      <c r="A83" s="213" t="s">
        <v>339</v>
      </c>
      <c r="B83" s="277"/>
      <c r="C83" s="284"/>
      <c r="D83" s="277"/>
      <c r="E83" s="278" t="str">
        <f t="shared" si="9"/>
        <v> </v>
      </c>
      <c r="F83" s="282"/>
      <c r="G83" s="213" t="s">
        <v>339</v>
      </c>
      <c r="H83" s="283"/>
      <c r="I83" s="283"/>
      <c r="J83" s="283"/>
      <c r="K83" s="280"/>
      <c r="L83" s="283"/>
      <c r="M83" s="265"/>
    </row>
    <row r="84" spans="1:13" ht="12.75">
      <c r="A84" s="205" t="s">
        <v>310</v>
      </c>
      <c r="B84" s="277">
        <v>2000000</v>
      </c>
      <c r="C84" s="284">
        <v>1656000</v>
      </c>
      <c r="D84" s="277">
        <v>743120</v>
      </c>
      <c r="E84" s="278">
        <f t="shared" si="9"/>
        <v>0.37156</v>
      </c>
      <c r="F84" s="282">
        <f>D84-'[6]Marts'!D84</f>
        <v>153519</v>
      </c>
      <c r="G84" s="205" t="s">
        <v>310</v>
      </c>
      <c r="H84" s="279">
        <f>ROUND(B84/1000,0)</f>
        <v>2000</v>
      </c>
      <c r="I84" s="279">
        <f>ROUND(C84/1000,0)</f>
        <v>1656</v>
      </c>
      <c r="J84" s="279">
        <f>ROUND(D84/1000,0)</f>
        <v>743</v>
      </c>
      <c r="K84" s="280">
        <f t="shared" si="10"/>
        <v>0.3715</v>
      </c>
      <c r="L84" s="279">
        <f>J84-'[6]Marts'!J84</f>
        <v>153</v>
      </c>
      <c r="M84" s="265"/>
    </row>
    <row r="85" spans="1:13" ht="12.75">
      <c r="A85" s="205" t="s">
        <v>312</v>
      </c>
      <c r="B85" s="277">
        <f>B86</f>
        <v>2000000</v>
      </c>
      <c r="C85" s="284">
        <f>SUM(C86)</f>
        <v>1656000</v>
      </c>
      <c r="D85" s="277">
        <f>D86</f>
        <v>1563770</v>
      </c>
      <c r="E85" s="278">
        <f t="shared" si="9"/>
        <v>0.781885</v>
      </c>
      <c r="F85" s="282">
        <f>F86</f>
        <v>0</v>
      </c>
      <c r="G85" s="205" t="s">
        <v>312</v>
      </c>
      <c r="H85" s="283">
        <f>H86</f>
        <v>2000</v>
      </c>
      <c r="I85" s="283">
        <f>I86</f>
        <v>1656</v>
      </c>
      <c r="J85" s="283">
        <f>J86</f>
        <v>1564</v>
      </c>
      <c r="K85" s="280">
        <f t="shared" si="10"/>
        <v>0.782</v>
      </c>
      <c r="L85" s="283">
        <f>L86</f>
        <v>0</v>
      </c>
      <c r="M85" s="265"/>
    </row>
    <row r="86" spans="1:13" ht="12.75">
      <c r="A86" s="205" t="s">
        <v>304</v>
      </c>
      <c r="B86" s="277">
        <v>2000000</v>
      </c>
      <c r="C86" s="284">
        <v>1656000</v>
      </c>
      <c r="D86" s="277">
        <v>1563770</v>
      </c>
      <c r="E86" s="278">
        <f t="shared" si="9"/>
        <v>0.781885</v>
      </c>
      <c r="F86" s="282">
        <f>D86-'[6]Marts'!D86</f>
        <v>0</v>
      </c>
      <c r="G86" s="205" t="s">
        <v>304</v>
      </c>
      <c r="H86" s="279">
        <f aca="true" t="shared" si="12" ref="H86:J87">ROUND(B86/1000,0)</f>
        <v>2000</v>
      </c>
      <c r="I86" s="279">
        <f t="shared" si="12"/>
        <v>1656</v>
      </c>
      <c r="J86" s="279">
        <f t="shared" si="12"/>
        <v>1564</v>
      </c>
      <c r="K86" s="280">
        <f t="shared" si="10"/>
        <v>0.782</v>
      </c>
      <c r="L86" s="279">
        <f>J86-'[6]Marts'!J86</f>
        <v>0</v>
      </c>
      <c r="M86" s="265"/>
    </row>
    <row r="87" spans="1:13" ht="12.75">
      <c r="A87" s="205" t="s">
        <v>340</v>
      </c>
      <c r="B87" s="277">
        <v>0</v>
      </c>
      <c r="C87" s="284"/>
      <c r="D87" s="277">
        <v>1000000</v>
      </c>
      <c r="E87" s="278" t="str">
        <f t="shared" si="9"/>
        <v> </v>
      </c>
      <c r="F87" s="282">
        <f>D87-'[6]Marts'!D87</f>
        <v>0</v>
      </c>
      <c r="G87" s="205" t="s">
        <v>340</v>
      </c>
      <c r="H87" s="279">
        <f t="shared" si="12"/>
        <v>0</v>
      </c>
      <c r="I87" s="279">
        <f t="shared" si="12"/>
        <v>0</v>
      </c>
      <c r="J87" s="279">
        <f t="shared" si="12"/>
        <v>1000</v>
      </c>
      <c r="K87" s="280" t="str">
        <f t="shared" si="10"/>
        <v> </v>
      </c>
      <c r="L87" s="279">
        <f>J87-'[6]Marts'!J87</f>
        <v>0</v>
      </c>
      <c r="M87" s="265"/>
    </row>
    <row r="88" spans="1:13" ht="12.75">
      <c r="A88" s="26" t="s">
        <v>199</v>
      </c>
      <c r="B88" s="277"/>
      <c r="C88" s="284"/>
      <c r="D88" s="277"/>
      <c r="E88" s="278" t="str">
        <f t="shared" si="9"/>
        <v> </v>
      </c>
      <c r="F88" s="282"/>
      <c r="G88" s="26" t="s">
        <v>199</v>
      </c>
      <c r="H88" s="283"/>
      <c r="I88" s="283"/>
      <c r="J88" s="283"/>
      <c r="K88" s="280"/>
      <c r="L88" s="283"/>
      <c r="M88" s="43"/>
    </row>
    <row r="89" spans="1:13" ht="12.75">
      <c r="A89" s="213" t="s">
        <v>341</v>
      </c>
      <c r="B89" s="277"/>
      <c r="C89" s="284"/>
      <c r="D89" s="277"/>
      <c r="E89" s="278" t="str">
        <f t="shared" si="9"/>
        <v> </v>
      </c>
      <c r="F89" s="282"/>
      <c r="G89" s="213" t="s">
        <v>341</v>
      </c>
      <c r="H89" s="283"/>
      <c r="I89" s="283"/>
      <c r="J89" s="283"/>
      <c r="K89" s="280"/>
      <c r="L89" s="283"/>
      <c r="M89" s="43"/>
    </row>
    <row r="90" spans="1:13" ht="12.75">
      <c r="A90" s="205" t="s">
        <v>310</v>
      </c>
      <c r="B90" s="277">
        <f>SUM(B91:B93)</f>
        <v>131491628</v>
      </c>
      <c r="C90" s="284">
        <v>43748680</v>
      </c>
      <c r="D90" s="277">
        <f>SUM(D91:D93)</f>
        <v>42087184</v>
      </c>
      <c r="E90" s="278">
        <f t="shared" si="9"/>
        <v>0.3200750088819343</v>
      </c>
      <c r="F90" s="282">
        <f>SUM(F91:F93)</f>
        <v>12599504</v>
      </c>
      <c r="G90" s="205" t="s">
        <v>310</v>
      </c>
      <c r="H90" s="283">
        <f>SUM(H91:H93)</f>
        <v>131491</v>
      </c>
      <c r="I90" s="283">
        <f>ROUND(C90/1000,0)</f>
        <v>43749</v>
      </c>
      <c r="J90" s="283">
        <f>SUM(J91:J93)</f>
        <v>42087</v>
      </c>
      <c r="K90" s="280">
        <f aca="true" t="shared" si="13" ref="K90:K97">IF(ISERROR(ROUND(J90,0)/ROUND(H90,0))," ",(ROUND(J90,)/ROUND(H90,)))</f>
        <v>0.32007513822238787</v>
      </c>
      <c r="L90" s="283">
        <f>SUM(L91:L93)</f>
        <v>12600</v>
      </c>
      <c r="M90" s="43"/>
    </row>
    <row r="91" spans="1:13" ht="12.75">
      <c r="A91" s="205" t="s">
        <v>342</v>
      </c>
      <c r="B91" s="277">
        <v>74152400</v>
      </c>
      <c r="C91" s="284"/>
      <c r="D91" s="277">
        <v>22406027</v>
      </c>
      <c r="E91" s="278">
        <f t="shared" si="9"/>
        <v>0.30216185855076844</v>
      </c>
      <c r="F91" s="282">
        <f>D91-'[6]Marts'!D91</f>
        <v>5585606</v>
      </c>
      <c r="G91" s="205" t="s">
        <v>342</v>
      </c>
      <c r="H91" s="283">
        <f>ROUND(B91/1000,0)</f>
        <v>74152</v>
      </c>
      <c r="I91" s="283">
        <f>ROUND(C91/1000,0)</f>
        <v>0</v>
      </c>
      <c r="J91" s="283">
        <f>ROUND(D91/1000,0)</f>
        <v>22406</v>
      </c>
      <c r="K91" s="280">
        <f t="shared" si="13"/>
        <v>0.3021631243931384</v>
      </c>
      <c r="L91" s="279">
        <f>J91-'[6]Marts'!J91</f>
        <v>5586</v>
      </c>
      <c r="M91" s="43"/>
    </row>
    <row r="92" spans="1:13" ht="12.75">
      <c r="A92" s="205" t="s">
        <v>343</v>
      </c>
      <c r="B92" s="277">
        <v>53376928</v>
      </c>
      <c r="C92" s="284"/>
      <c r="D92" s="277">
        <v>18661339</v>
      </c>
      <c r="E92" s="278">
        <f t="shared" si="9"/>
        <v>0.34961433149543564</v>
      </c>
      <c r="F92" s="282">
        <f>D92-'[6]Marts'!D92</f>
        <v>6440880</v>
      </c>
      <c r="G92" s="205" t="s">
        <v>343</v>
      </c>
      <c r="H92" s="283">
        <f>ROUND(B92/1000,0)</f>
        <v>53377</v>
      </c>
      <c r="I92" s="283">
        <f>ROUND(C92/1000,0)</f>
        <v>0</v>
      </c>
      <c r="J92" s="283">
        <f>ROUND(D92/1000,0)</f>
        <v>18661</v>
      </c>
      <c r="K92" s="280">
        <f t="shared" si="13"/>
        <v>0.3496075088521273</v>
      </c>
      <c r="L92" s="279">
        <f>J92-'[6]Marts'!J92</f>
        <v>6441</v>
      </c>
      <c r="M92" s="43"/>
    </row>
    <row r="93" spans="1:13" ht="12.75">
      <c r="A93" s="205" t="s">
        <v>239</v>
      </c>
      <c r="B93" s="277">
        <v>3962300</v>
      </c>
      <c r="C93" s="284"/>
      <c r="D93" s="277">
        <v>1019818</v>
      </c>
      <c r="E93" s="278">
        <f t="shared" si="9"/>
        <v>0.2573803094162481</v>
      </c>
      <c r="F93" s="282">
        <f>D93-'[6]Marts'!D93</f>
        <v>573018</v>
      </c>
      <c r="G93" s="205" t="s">
        <v>239</v>
      </c>
      <c r="H93" s="283">
        <f>ROUND(B93/1000,0)</f>
        <v>3962</v>
      </c>
      <c r="I93" s="283">
        <f>ROUND(C93/1000,0)</f>
        <v>0</v>
      </c>
      <c r="J93" s="283">
        <f>ROUND(D93/1000,0)</f>
        <v>1020</v>
      </c>
      <c r="K93" s="280">
        <f t="shared" si="13"/>
        <v>0.2574457344775366</v>
      </c>
      <c r="L93" s="279">
        <f>J93-'[6]Marts'!J93</f>
        <v>573</v>
      </c>
      <c r="M93" s="43"/>
    </row>
    <row r="94" spans="1:13" ht="12.75">
      <c r="A94" s="205" t="s">
        <v>312</v>
      </c>
      <c r="B94" s="277">
        <f>SUM(B95:B96)</f>
        <v>135680628</v>
      </c>
      <c r="C94" s="284">
        <f>SUM(C95:C96)</f>
        <v>47836031</v>
      </c>
      <c r="D94" s="277">
        <f>SUM(D95:D96)</f>
        <v>40208714</v>
      </c>
      <c r="E94" s="278">
        <f t="shared" si="9"/>
        <v>0.29634823034574986</v>
      </c>
      <c r="F94" s="282">
        <f>SUM(F95:F96)</f>
        <v>11038497</v>
      </c>
      <c r="G94" s="205" t="s">
        <v>312</v>
      </c>
      <c r="H94" s="283">
        <f>SUM(H95:H96)</f>
        <v>135681</v>
      </c>
      <c r="I94" s="283">
        <f>SUM(I95:I96)</f>
        <v>47836</v>
      </c>
      <c r="J94" s="283">
        <f>SUM(J95:J96)</f>
        <v>40209</v>
      </c>
      <c r="K94" s="280">
        <f t="shared" si="13"/>
        <v>0.29634952572578327</v>
      </c>
      <c r="L94" s="283">
        <f>SUM(L95:L96)</f>
        <v>11039</v>
      </c>
      <c r="M94" s="43"/>
    </row>
    <row r="95" spans="1:13" ht="12.75">
      <c r="A95" s="205" t="s">
        <v>313</v>
      </c>
      <c r="B95" s="277">
        <v>130203128</v>
      </c>
      <c r="C95" s="284">
        <v>44457131</v>
      </c>
      <c r="D95" s="277">
        <v>39762095</v>
      </c>
      <c r="E95" s="278">
        <f t="shared" si="9"/>
        <v>0.3053850979678461</v>
      </c>
      <c r="F95" s="282">
        <f>D95-'[6]Marts'!D95</f>
        <v>10705039</v>
      </c>
      <c r="G95" s="205" t="s">
        <v>313</v>
      </c>
      <c r="H95" s="283">
        <f aca="true" t="shared" si="14" ref="H95:J98">ROUND(B95/1000,0)</f>
        <v>130203</v>
      </c>
      <c r="I95" s="283">
        <f t="shared" si="14"/>
        <v>44457</v>
      </c>
      <c r="J95" s="283">
        <f t="shared" si="14"/>
        <v>39762</v>
      </c>
      <c r="K95" s="280">
        <f t="shared" si="13"/>
        <v>0.30538466855602403</v>
      </c>
      <c r="L95" s="279">
        <f>J95-'[6]Marts'!J95</f>
        <v>10705</v>
      </c>
      <c r="M95" s="43"/>
    </row>
    <row r="96" spans="1:13" ht="12.75">
      <c r="A96" s="205" t="s">
        <v>304</v>
      </c>
      <c r="B96" s="277">
        <v>5477500</v>
      </c>
      <c r="C96" s="284">
        <v>3378900</v>
      </c>
      <c r="D96" s="277">
        <v>446619</v>
      </c>
      <c r="E96" s="278">
        <f t="shared" si="9"/>
        <v>0.0815370150616157</v>
      </c>
      <c r="F96" s="282">
        <f>D96-'[6]Marts'!D96</f>
        <v>333458</v>
      </c>
      <c r="G96" s="205" t="s">
        <v>304</v>
      </c>
      <c r="H96" s="283">
        <f t="shared" si="14"/>
        <v>5478</v>
      </c>
      <c r="I96" s="283">
        <f t="shared" si="14"/>
        <v>3379</v>
      </c>
      <c r="J96" s="283">
        <f t="shared" si="14"/>
        <v>447</v>
      </c>
      <c r="K96" s="280">
        <f t="shared" si="13"/>
        <v>0.08159912376779847</v>
      </c>
      <c r="L96" s="279">
        <f>J96-'[6]Marts'!J96</f>
        <v>334</v>
      </c>
      <c r="M96" s="43"/>
    </row>
    <row r="97" spans="1:13" ht="12.75">
      <c r="A97" s="205" t="s">
        <v>307</v>
      </c>
      <c r="B97" s="277">
        <f>SUM(B90-B94)</f>
        <v>-4189000</v>
      </c>
      <c r="C97" s="284">
        <f>SUM(C90-C94)</f>
        <v>-4087351</v>
      </c>
      <c r="D97" s="277">
        <f>SUM(D90-D94)</f>
        <v>1878470</v>
      </c>
      <c r="E97" s="278">
        <f t="shared" si="9"/>
        <v>-0.44842921938410124</v>
      </c>
      <c r="F97" s="282">
        <f>D97-'[6]Marts'!D97</f>
        <v>1561007</v>
      </c>
      <c r="G97" s="205" t="s">
        <v>307</v>
      </c>
      <c r="H97" s="283">
        <f>SUM(H90-H94)</f>
        <v>-4190</v>
      </c>
      <c r="I97" s="283">
        <f>SUM(I90-I94)</f>
        <v>-4087</v>
      </c>
      <c r="J97" s="283">
        <f>SUM(J90-J94)</f>
        <v>1878</v>
      </c>
      <c r="K97" s="280">
        <f t="shared" si="13"/>
        <v>-0.44821002386634845</v>
      </c>
      <c r="L97" s="279">
        <f>J97-'[6]Marts'!J97</f>
        <v>1561</v>
      </c>
      <c r="M97" s="43"/>
    </row>
    <row r="98" spans="1:13" ht="12.75">
      <c r="A98" s="205" t="s">
        <v>308</v>
      </c>
      <c r="B98" s="277">
        <v>4189000</v>
      </c>
      <c r="C98" s="284">
        <f>2700000+190000</f>
        <v>2890000</v>
      </c>
      <c r="D98" s="277">
        <v>298203</v>
      </c>
      <c r="E98" s="278">
        <f t="shared" si="9"/>
        <v>0.07118715683934113</v>
      </c>
      <c r="F98" s="282">
        <f>D98-'[6]Marts'!D98</f>
        <v>205287</v>
      </c>
      <c r="G98" s="205" t="s">
        <v>308</v>
      </c>
      <c r="H98" s="283">
        <f>ROUND(B98/1000,0)</f>
        <v>4189</v>
      </c>
      <c r="I98" s="283">
        <f t="shared" si="14"/>
        <v>2890</v>
      </c>
      <c r="J98" s="283">
        <f>ROUND(D98/1000,0)</f>
        <v>298</v>
      </c>
      <c r="K98" s="280"/>
      <c r="L98" s="279">
        <f>J98-'[6]Marts'!J98</f>
        <v>205</v>
      </c>
      <c r="M98" s="43"/>
    </row>
    <row r="99" spans="1:13" ht="12.75">
      <c r="A99" s="213" t="s">
        <v>344</v>
      </c>
      <c r="B99" s="277"/>
      <c r="C99" s="284"/>
      <c r="D99" s="277"/>
      <c r="E99" s="278" t="str">
        <f t="shared" si="9"/>
        <v> </v>
      </c>
      <c r="F99" s="282"/>
      <c r="G99" s="213" t="s">
        <v>344</v>
      </c>
      <c r="H99" s="283"/>
      <c r="I99" s="283"/>
      <c r="J99" s="283"/>
      <c r="K99" s="280"/>
      <c r="L99" s="283"/>
      <c r="M99" s="265"/>
    </row>
    <row r="100" spans="1:13" ht="12.75">
      <c r="A100" s="205" t="s">
        <v>310</v>
      </c>
      <c r="B100" s="277">
        <f>SUM(B101:B103)</f>
        <v>481062040</v>
      </c>
      <c r="C100" s="277">
        <f>111124032+39570361</f>
        <v>150694393</v>
      </c>
      <c r="D100" s="277">
        <f>SUM(D101:D103)</f>
        <v>148169341</v>
      </c>
      <c r="E100" s="278">
        <f t="shared" si="9"/>
        <v>0.3080046411477405</v>
      </c>
      <c r="F100" s="282">
        <f>SUM(F101:F103)</f>
        <v>36247865</v>
      </c>
      <c r="G100" s="205" t="s">
        <v>310</v>
      </c>
      <c r="H100" s="283">
        <f>SUM(H101:H103)</f>
        <v>481062</v>
      </c>
      <c r="I100" s="279">
        <f aca="true" t="shared" si="15" ref="H100:J103">ROUND(C100/1000,0)</f>
        <v>150694</v>
      </c>
      <c r="J100" s="283">
        <f>SUM(J101:J103)</f>
        <v>148169</v>
      </c>
      <c r="K100" s="280">
        <f t="shared" si="10"/>
        <v>0.30800395790979124</v>
      </c>
      <c r="L100" s="279">
        <f>SUM(L101:L103)</f>
        <v>36247</v>
      </c>
      <c r="M100" s="265"/>
    </row>
    <row r="101" spans="1:13" ht="12.75">
      <c r="A101" s="290" t="s">
        <v>345</v>
      </c>
      <c r="B101" s="291">
        <v>473580496</v>
      </c>
      <c r="C101" s="292"/>
      <c r="D101" s="291">
        <v>145309949</v>
      </c>
      <c r="E101" s="278">
        <f t="shared" si="9"/>
        <v>0.30683262977958453</v>
      </c>
      <c r="F101" s="282">
        <f>D101-'[6]Marts'!D101</f>
        <v>35262197</v>
      </c>
      <c r="G101" s="205" t="s">
        <v>345</v>
      </c>
      <c r="H101" s="279">
        <f t="shared" si="15"/>
        <v>473580</v>
      </c>
      <c r="I101" s="279">
        <f t="shared" si="15"/>
        <v>0</v>
      </c>
      <c r="J101" s="279">
        <f t="shared" si="15"/>
        <v>145310</v>
      </c>
      <c r="K101" s="280">
        <f t="shared" si="10"/>
        <v>0.3068330588284978</v>
      </c>
      <c r="L101" s="279">
        <f>J101-'[6]Marts'!J101</f>
        <v>35262</v>
      </c>
      <c r="M101" s="265"/>
    </row>
    <row r="102" spans="1:13" ht="12.75">
      <c r="A102" s="290" t="s">
        <v>346</v>
      </c>
      <c r="B102" s="291">
        <v>6036630</v>
      </c>
      <c r="C102" s="292"/>
      <c r="D102" s="291">
        <v>1952269</v>
      </c>
      <c r="E102" s="278">
        <f t="shared" si="9"/>
        <v>0.32340378654978025</v>
      </c>
      <c r="F102" s="282">
        <f>D102-'[6]Marts'!D102</f>
        <v>570405</v>
      </c>
      <c r="G102" s="205" t="s">
        <v>346</v>
      </c>
      <c r="H102" s="279">
        <f t="shared" si="15"/>
        <v>6037</v>
      </c>
      <c r="I102" s="279">
        <f t="shared" si="15"/>
        <v>0</v>
      </c>
      <c r="J102" s="279">
        <f t="shared" si="15"/>
        <v>1952</v>
      </c>
      <c r="K102" s="280">
        <f t="shared" si="10"/>
        <v>0.32333940699022695</v>
      </c>
      <c r="L102" s="279">
        <f>J102-'[6]Marts'!J102</f>
        <v>570</v>
      </c>
      <c r="M102" s="265"/>
    </row>
    <row r="103" spans="1:13" ht="12.75">
      <c r="A103" s="290" t="s">
        <v>347</v>
      </c>
      <c r="B103" s="291">
        <f>481062040-473580496-6036630</f>
        <v>1444914</v>
      </c>
      <c r="C103" s="292"/>
      <c r="D103" s="291">
        <f>2859392-1952269</f>
        <v>907123</v>
      </c>
      <c r="E103" s="278">
        <f t="shared" si="9"/>
        <v>0.6278041461291122</v>
      </c>
      <c r="F103" s="282">
        <f>D103-'[6]Marts'!D103</f>
        <v>415263</v>
      </c>
      <c r="G103" s="205" t="s">
        <v>347</v>
      </c>
      <c r="H103" s="279">
        <f t="shared" si="15"/>
        <v>1445</v>
      </c>
      <c r="I103" s="279">
        <f t="shared" si="15"/>
        <v>0</v>
      </c>
      <c r="J103" s="279">
        <f>ROUND(D103/1000,0)</f>
        <v>907</v>
      </c>
      <c r="K103" s="280">
        <f t="shared" si="10"/>
        <v>0.6276816608996539</v>
      </c>
      <c r="L103" s="279">
        <f>J103-'[6]Marts'!J103</f>
        <v>415</v>
      </c>
      <c r="M103" s="265"/>
    </row>
    <row r="104" spans="1:13" ht="12.75">
      <c r="A104" s="205" t="s">
        <v>348</v>
      </c>
      <c r="B104" s="277">
        <f>SUM(B105:B106)</f>
        <v>516531015</v>
      </c>
      <c r="C104" s="284">
        <f>SUM(C105:C106)</f>
        <v>180475121</v>
      </c>
      <c r="D104" s="277">
        <f>SUM(D105:D106)</f>
        <v>168912505</v>
      </c>
      <c r="E104" s="278">
        <f t="shared" si="9"/>
        <v>0.32701328689817394</v>
      </c>
      <c r="F104" s="282">
        <f>SUM(F105:F106)</f>
        <v>41316095</v>
      </c>
      <c r="G104" s="205" t="s">
        <v>349</v>
      </c>
      <c r="H104" s="277">
        <f>SUM(H105:H106)</f>
        <v>516531</v>
      </c>
      <c r="I104" s="277">
        <f>SUM(I105:I106)</f>
        <v>180475</v>
      </c>
      <c r="J104" s="277">
        <f>SUM(J105:J106)</f>
        <v>168913</v>
      </c>
      <c r="K104" s="280">
        <f t="shared" si="10"/>
        <v>0.32701425471075307</v>
      </c>
      <c r="L104" s="283">
        <f>SUM(L105:L106)</f>
        <v>41317</v>
      </c>
      <c r="M104" s="265"/>
    </row>
    <row r="105" spans="1:13" ht="12.75">
      <c r="A105" s="205" t="s">
        <v>313</v>
      </c>
      <c r="B105" s="277">
        <v>512300015</v>
      </c>
      <c r="C105" s="284">
        <f>137800527+40986190</f>
        <v>178786717</v>
      </c>
      <c r="D105" s="277">
        <f>168912505-527505</f>
        <v>168385000</v>
      </c>
      <c r="E105" s="278">
        <f t="shared" si="9"/>
        <v>0.32868435500631404</v>
      </c>
      <c r="F105" s="282">
        <f>D105-'[6]Marts'!D105</f>
        <v>41274734</v>
      </c>
      <c r="G105" s="205" t="s">
        <v>313</v>
      </c>
      <c r="H105" s="279">
        <f aca="true" t="shared" si="16" ref="H105:J108">ROUND(B105/1000,0)</f>
        <v>512300</v>
      </c>
      <c r="I105" s="279">
        <f t="shared" si="16"/>
        <v>178787</v>
      </c>
      <c r="J105" s="279">
        <f t="shared" si="16"/>
        <v>168385</v>
      </c>
      <c r="K105" s="280">
        <f t="shared" si="10"/>
        <v>0.32868436463009953</v>
      </c>
      <c r="L105" s="279">
        <f>J105-'[6]Marts'!J105</f>
        <v>41275</v>
      </c>
      <c r="M105" s="265"/>
    </row>
    <row r="106" spans="1:13" ht="12.75">
      <c r="A106" s="205" t="s">
        <v>304</v>
      </c>
      <c r="B106" s="277">
        <v>4231000</v>
      </c>
      <c r="C106" s="284">
        <f>1006813+681591</f>
        <v>1688404</v>
      </c>
      <c r="D106" s="277">
        <v>527505</v>
      </c>
      <c r="E106" s="278">
        <f t="shared" si="9"/>
        <v>0.12467619948002837</v>
      </c>
      <c r="F106" s="282">
        <f>D106-'[6]Marts'!D106</f>
        <v>41361</v>
      </c>
      <c r="G106" s="205" t="s">
        <v>304</v>
      </c>
      <c r="H106" s="279">
        <f t="shared" si="16"/>
        <v>4231</v>
      </c>
      <c r="I106" s="279">
        <f t="shared" si="16"/>
        <v>1688</v>
      </c>
      <c r="J106" s="279">
        <f t="shared" si="16"/>
        <v>528</v>
      </c>
      <c r="K106" s="280">
        <f t="shared" si="10"/>
        <v>0.12479319309855826</v>
      </c>
      <c r="L106" s="279">
        <f>J106-'[6]Marts'!J106</f>
        <v>42</v>
      </c>
      <c r="M106" s="265"/>
    </row>
    <row r="107" spans="1:13" ht="12.75">
      <c r="A107" s="205" t="s">
        <v>307</v>
      </c>
      <c r="B107" s="277">
        <f>SUM(B100-B104)</f>
        <v>-35468975</v>
      </c>
      <c r="C107" s="284">
        <f>SUM(C100-C104)</f>
        <v>-29780728</v>
      </c>
      <c r="D107" s="277">
        <f>SUM(D100-D104)</f>
        <v>-20743164</v>
      </c>
      <c r="E107" s="278">
        <f t="shared" si="9"/>
        <v>0.5848255834852853</v>
      </c>
      <c r="F107" s="282">
        <f>D107-'[6]Marts'!D107</f>
        <v>-5068230</v>
      </c>
      <c r="G107" s="205" t="s">
        <v>307</v>
      </c>
      <c r="H107" s="279">
        <f t="shared" si="16"/>
        <v>-35469</v>
      </c>
      <c r="I107" s="279">
        <f t="shared" si="16"/>
        <v>-29781</v>
      </c>
      <c r="J107" s="279">
        <f t="shared" si="16"/>
        <v>-20743</v>
      </c>
      <c r="K107" s="280">
        <f t="shared" si="10"/>
        <v>0.5848205475203699</v>
      </c>
      <c r="L107" s="279">
        <f>J107-'[6]Marts'!J107</f>
        <v>-5068</v>
      </c>
      <c r="M107" s="265"/>
    </row>
    <row r="108" spans="1:13" ht="12.75">
      <c r="A108" s="205" t="s">
        <v>308</v>
      </c>
      <c r="B108" s="277">
        <v>35815863</v>
      </c>
      <c r="C108" s="284">
        <f>8573735+9386208+9790039+2084195</f>
        <v>29834177</v>
      </c>
      <c r="D108" s="277">
        <f>22169660+477268</f>
        <v>22646928</v>
      </c>
      <c r="E108" s="278">
        <f t="shared" si="9"/>
        <v>0.6323155748054989</v>
      </c>
      <c r="F108" s="282">
        <f>D108-'[6]Marts'!D108</f>
        <v>4819394</v>
      </c>
      <c r="G108" s="205" t="s">
        <v>308</v>
      </c>
      <c r="H108" s="279">
        <f t="shared" si="16"/>
        <v>35816</v>
      </c>
      <c r="I108" s="279">
        <f t="shared" si="16"/>
        <v>29834</v>
      </c>
      <c r="J108" s="279">
        <f>ROUND(D108/1000,0)</f>
        <v>22647</v>
      </c>
      <c r="K108" s="280">
        <f t="shared" si="10"/>
        <v>0.6323151664060755</v>
      </c>
      <c r="L108" s="279">
        <f>J108-'[6]Marts'!J108</f>
        <v>4819</v>
      </c>
      <c r="M108" s="265"/>
    </row>
    <row r="109" spans="1:13" ht="12.75">
      <c r="A109" s="213" t="s">
        <v>350</v>
      </c>
      <c r="B109" s="277"/>
      <c r="C109" s="284"/>
      <c r="D109" s="277"/>
      <c r="E109" s="278" t="str">
        <f t="shared" si="9"/>
        <v> </v>
      </c>
      <c r="F109" s="282"/>
      <c r="G109" s="213" t="s">
        <v>350</v>
      </c>
      <c r="H109" s="283"/>
      <c r="I109" s="283"/>
      <c r="J109" s="283"/>
      <c r="K109" s="280"/>
      <c r="L109" s="283"/>
      <c r="M109" s="265"/>
    </row>
    <row r="110" spans="1:13" ht="12.75">
      <c r="A110" s="205" t="s">
        <v>310</v>
      </c>
      <c r="B110" s="277">
        <f>SUM(B111:B113)</f>
        <v>377995087</v>
      </c>
      <c r="C110" s="284">
        <f>87979449+31064371</f>
        <v>119043820</v>
      </c>
      <c r="D110" s="277">
        <f>SUM(D111:D113)</f>
        <v>115857133</v>
      </c>
      <c r="E110" s="278">
        <f t="shared" si="9"/>
        <v>0.30650433559735657</v>
      </c>
      <c r="F110" s="282">
        <f>SUM(F111:F113)</f>
        <v>28235007</v>
      </c>
      <c r="G110" s="205" t="s">
        <v>310</v>
      </c>
      <c r="H110" s="283">
        <f>SUM(H111:H113)</f>
        <v>377996</v>
      </c>
      <c r="I110" s="293">
        <f aca="true" t="shared" si="17" ref="H110:J115">ROUND(C110/1000,0)</f>
        <v>119044</v>
      </c>
      <c r="J110" s="283">
        <f>SUM(J111:J113)</f>
        <v>115858</v>
      </c>
      <c r="K110" s="280">
        <f t="shared" si="10"/>
        <v>0.30650588895120584</v>
      </c>
      <c r="L110" s="279">
        <f>SUM(L111:L113)</f>
        <v>28236</v>
      </c>
      <c r="M110" s="265"/>
    </row>
    <row r="111" spans="1:13" ht="12.75">
      <c r="A111" s="290" t="s">
        <v>345</v>
      </c>
      <c r="B111" s="291">
        <v>355768535</v>
      </c>
      <c r="C111" s="292"/>
      <c r="D111" s="293">
        <v>109159865</v>
      </c>
      <c r="E111" s="278" t="str">
        <f>IF(ISERROR(#REF!/B111)," ",(#REF!/B111))</f>
        <v> </v>
      </c>
      <c r="F111" s="282">
        <f>D111-'[6]Marts'!D111</f>
        <v>26489623</v>
      </c>
      <c r="G111" s="290" t="s">
        <v>345</v>
      </c>
      <c r="H111" s="293">
        <f t="shared" si="17"/>
        <v>355769</v>
      </c>
      <c r="I111" s="293">
        <f t="shared" si="17"/>
        <v>0</v>
      </c>
      <c r="J111" s="293">
        <f>ROUND(D111/1000,0)</f>
        <v>109160</v>
      </c>
      <c r="K111" s="294">
        <f t="shared" si="10"/>
        <v>0.3068283071318749</v>
      </c>
      <c r="L111" s="279">
        <f>J111-'[6]Marts'!J111</f>
        <v>26490</v>
      </c>
      <c r="M111" s="265"/>
    </row>
    <row r="112" spans="1:13" ht="12.75">
      <c r="A112" s="290" t="s">
        <v>346</v>
      </c>
      <c r="B112" s="291">
        <v>3397829</v>
      </c>
      <c r="C112" s="292"/>
      <c r="D112" s="293">
        <v>1049682</v>
      </c>
      <c r="E112" s="278" t="str">
        <f>IF(ISERROR(#REF!/B112)," ",(#REF!/B112))</f>
        <v> </v>
      </c>
      <c r="F112" s="282">
        <f>D112-'[6]Marts'!D112</f>
        <v>280532</v>
      </c>
      <c r="G112" s="290" t="s">
        <v>346</v>
      </c>
      <c r="H112" s="293">
        <f t="shared" si="17"/>
        <v>3398</v>
      </c>
      <c r="I112" s="293">
        <f t="shared" si="17"/>
        <v>0</v>
      </c>
      <c r="J112" s="293">
        <f t="shared" si="17"/>
        <v>1050</v>
      </c>
      <c r="K112" s="294">
        <f t="shared" si="10"/>
        <v>0.3090052972336669</v>
      </c>
      <c r="L112" s="279">
        <f>J112-'[6]Marts'!J112</f>
        <v>281</v>
      </c>
      <c r="M112" s="265"/>
    </row>
    <row r="113" spans="1:13" ht="12.75">
      <c r="A113" s="290" t="s">
        <v>347</v>
      </c>
      <c r="B113" s="291">
        <f>377995087-355768535-3397829</f>
        <v>18828723</v>
      </c>
      <c r="C113" s="292"/>
      <c r="D113" s="293">
        <f>6697268-1049682</f>
        <v>5647586</v>
      </c>
      <c r="E113" s="278" t="str">
        <f>IF(ISERROR(#REF!/B113)," ",(#REF!/B113))</f>
        <v> </v>
      </c>
      <c r="F113" s="282">
        <f>D113-'[6]Marts'!D113</f>
        <v>1464852</v>
      </c>
      <c r="G113" s="290" t="s">
        <v>347</v>
      </c>
      <c r="H113" s="293">
        <f t="shared" si="17"/>
        <v>18829</v>
      </c>
      <c r="I113" s="293">
        <f t="shared" si="17"/>
        <v>0</v>
      </c>
      <c r="J113" s="293">
        <f t="shared" si="17"/>
        <v>5648</v>
      </c>
      <c r="K113" s="294">
        <f t="shared" si="10"/>
        <v>0.29996282330447716</v>
      </c>
      <c r="L113" s="279">
        <f>J113-'[6]Marts'!J113</f>
        <v>1465</v>
      </c>
      <c r="M113" s="265"/>
    </row>
    <row r="114" spans="1:13" ht="12.75">
      <c r="A114" s="205" t="s">
        <v>312</v>
      </c>
      <c r="B114" s="291">
        <f>SUM(B115)</f>
        <v>399579811</v>
      </c>
      <c r="C114" s="292">
        <f>SUM(C115)</f>
        <v>138966554</v>
      </c>
      <c r="D114" s="291">
        <f>SUM(D115)</f>
        <v>133729984</v>
      </c>
      <c r="E114" s="278">
        <f t="shared" si="9"/>
        <v>0.33467652848957374</v>
      </c>
      <c r="F114" s="295">
        <f>SUM(F115)</f>
        <v>32849589</v>
      </c>
      <c r="G114" s="205" t="s">
        <v>312</v>
      </c>
      <c r="H114" s="283">
        <f>SUM(H115)</f>
        <v>399580</v>
      </c>
      <c r="I114" s="283">
        <f>SUM(I115)</f>
        <v>138967</v>
      </c>
      <c r="J114" s="283">
        <f>SUM(J115)</f>
        <v>133730</v>
      </c>
      <c r="K114" s="280">
        <f t="shared" si="10"/>
        <v>0.3346764102307423</v>
      </c>
      <c r="L114" s="283">
        <f>SUM(L115)</f>
        <v>32850</v>
      </c>
      <c r="M114" s="265"/>
    </row>
    <row r="115" spans="1:13" ht="12.75">
      <c r="A115" s="205" t="s">
        <v>351</v>
      </c>
      <c r="B115" s="277">
        <v>399579811</v>
      </c>
      <c r="C115" s="284">
        <f>106974241+31992313</f>
        <v>138966554</v>
      </c>
      <c r="D115" s="293">
        <v>133729984</v>
      </c>
      <c r="E115" s="278" t="str">
        <f>IF(ISERROR(#REF!/B115)," ",(#REF!/B115))</f>
        <v> </v>
      </c>
      <c r="F115" s="282">
        <f>D115-'[6]Marts'!D115</f>
        <v>32849589</v>
      </c>
      <c r="G115" s="290" t="s">
        <v>351</v>
      </c>
      <c r="H115" s="293">
        <f>ROUND(B115/1000,0)</f>
        <v>399580</v>
      </c>
      <c r="I115" s="293">
        <f>ROUND(C115/1000,0)</f>
        <v>138967</v>
      </c>
      <c r="J115" s="293">
        <f t="shared" si="17"/>
        <v>133730</v>
      </c>
      <c r="K115" s="294">
        <f t="shared" si="10"/>
        <v>0.3346764102307423</v>
      </c>
      <c r="L115" s="279">
        <f>J115-'[6]Marts'!J115</f>
        <v>32850</v>
      </c>
      <c r="M115" s="265"/>
    </row>
    <row r="116" spans="1:13" ht="12.75">
      <c r="A116" s="205" t="s">
        <v>307</v>
      </c>
      <c r="B116" s="277">
        <f>SUM(B110-B114)</f>
        <v>-21584724</v>
      </c>
      <c r="C116" s="284">
        <f>SUM(C110-C114)</f>
        <v>-19922734</v>
      </c>
      <c r="D116" s="277">
        <f>SUM(D110-D114)</f>
        <v>-17872851</v>
      </c>
      <c r="E116" s="278">
        <f t="shared" si="9"/>
        <v>0.8280324084755496</v>
      </c>
      <c r="F116" s="282">
        <f>D116-'[6]Marts'!D116</f>
        <v>-4614582</v>
      </c>
      <c r="G116" s="205" t="s">
        <v>307</v>
      </c>
      <c r="H116" s="283">
        <f>SUM(H110-H114)</f>
        <v>-21584</v>
      </c>
      <c r="I116" s="283">
        <f>SUM(I110-I114)</f>
        <v>-19923</v>
      </c>
      <c r="J116" s="283">
        <f>SUM(J110-J114)</f>
        <v>-17872</v>
      </c>
      <c r="K116" s="280">
        <f t="shared" si="10"/>
        <v>0.8280207561156412</v>
      </c>
      <c r="L116" s="279">
        <f>J116-'[6]Marts'!J116</f>
        <v>-4614</v>
      </c>
      <c r="M116" s="265"/>
    </row>
    <row r="117" spans="1:13" ht="12.75">
      <c r="A117" s="205" t="s">
        <v>308</v>
      </c>
      <c r="B117" s="277">
        <v>21584724</v>
      </c>
      <c r="C117" s="284">
        <f>5741810+6222903+7030079+927942</f>
        <v>19922734</v>
      </c>
      <c r="D117" s="277">
        <v>17908416</v>
      </c>
      <c r="E117" s="278">
        <f t="shared" si="9"/>
        <v>0.8296801015384769</v>
      </c>
      <c r="F117" s="282">
        <f>D117-'[6]Marts'!D117</f>
        <v>4624279</v>
      </c>
      <c r="G117" s="205" t="s">
        <v>308</v>
      </c>
      <c r="H117" s="279">
        <f>ROUND(B117/1000,0)</f>
        <v>21585</v>
      </c>
      <c r="I117" s="279">
        <f>ROUND(C117/1000,0)</f>
        <v>19923</v>
      </c>
      <c r="J117" s="279">
        <f>ROUND(D117/1000,0)</f>
        <v>17908</v>
      </c>
      <c r="K117" s="280">
        <f t="shared" si="10"/>
        <v>0.829650220060227</v>
      </c>
      <c r="L117" s="279">
        <f>J117-'[6]Marts'!J117</f>
        <v>4624</v>
      </c>
      <c r="M117" s="265"/>
    </row>
    <row r="118" spans="1:13" ht="12.75">
      <c r="A118" s="213" t="s">
        <v>352</v>
      </c>
      <c r="B118" s="277"/>
      <c r="C118" s="284"/>
      <c r="D118" s="277"/>
      <c r="E118" s="278" t="str">
        <f t="shared" si="9"/>
        <v> </v>
      </c>
      <c r="F118" s="282"/>
      <c r="G118" s="213" t="s">
        <v>352</v>
      </c>
      <c r="H118" s="283"/>
      <c r="I118" s="283"/>
      <c r="J118" s="283"/>
      <c r="K118" s="280"/>
      <c r="L118" s="283"/>
      <c r="M118" s="265"/>
    </row>
    <row r="119" spans="1:13" ht="12.75">
      <c r="A119" s="205" t="s">
        <v>310</v>
      </c>
      <c r="B119" s="277">
        <f>SUM(B120:B122)</f>
        <v>36515639</v>
      </c>
      <c r="C119" s="284">
        <f>10745881+2946311</f>
        <v>13692192</v>
      </c>
      <c r="D119" s="277">
        <f>SUM(D120:D122)</f>
        <v>13257724</v>
      </c>
      <c r="E119" s="278">
        <f t="shared" si="9"/>
        <v>0.3630697521136081</v>
      </c>
      <c r="F119" s="282">
        <f>SUM(F120:F122)</f>
        <v>2506465</v>
      </c>
      <c r="G119" s="205" t="s">
        <v>310</v>
      </c>
      <c r="H119" s="283">
        <f>SUM(H120:H122)</f>
        <v>36515</v>
      </c>
      <c r="I119" s="293">
        <f aca="true" t="shared" si="18" ref="H119:J122">ROUND(C119/1000,0)</f>
        <v>13692</v>
      </c>
      <c r="J119" s="283">
        <f>SUM(J120:J122)</f>
        <v>13257</v>
      </c>
      <c r="K119" s="280">
        <f t="shared" si="10"/>
        <v>0.3630562782418184</v>
      </c>
      <c r="L119" s="279">
        <f>SUM(L120:L122)</f>
        <v>2505</v>
      </c>
      <c r="M119" s="265"/>
    </row>
    <row r="120" spans="1:13" ht="12.75">
      <c r="A120" s="290" t="s">
        <v>345</v>
      </c>
      <c r="B120" s="291">
        <v>32186474</v>
      </c>
      <c r="C120" s="292"/>
      <c r="D120" s="291">
        <v>9876279</v>
      </c>
      <c r="E120" s="278">
        <f t="shared" si="9"/>
        <v>0.30684563335517895</v>
      </c>
      <c r="F120" s="282">
        <f>D120-'[6]Marts'!D120</f>
        <v>2396686</v>
      </c>
      <c r="G120" s="290" t="s">
        <v>345</v>
      </c>
      <c r="H120" s="293">
        <f t="shared" si="18"/>
        <v>32186</v>
      </c>
      <c r="I120" s="293">
        <f t="shared" si="18"/>
        <v>0</v>
      </c>
      <c r="J120" s="293">
        <f t="shared" si="18"/>
        <v>9876</v>
      </c>
      <c r="K120" s="294">
        <f t="shared" si="10"/>
        <v>0.3068414838749767</v>
      </c>
      <c r="L120" s="279">
        <f>J120-'[6]Marts'!J120</f>
        <v>2396</v>
      </c>
      <c r="M120" s="265"/>
    </row>
    <row r="121" spans="1:13" ht="12.75">
      <c r="A121" s="290" t="s">
        <v>346</v>
      </c>
      <c r="B121" s="291">
        <v>468801</v>
      </c>
      <c r="C121" s="292"/>
      <c r="D121" s="291">
        <v>142168</v>
      </c>
      <c r="E121" s="278">
        <f t="shared" si="9"/>
        <v>0.30325873878255377</v>
      </c>
      <c r="F121" s="282">
        <f>D121-'[6]Marts'!D121</f>
        <v>38613</v>
      </c>
      <c r="G121" s="290" t="s">
        <v>346</v>
      </c>
      <c r="H121" s="293">
        <f>ROUND(B121/1000,0)</f>
        <v>469</v>
      </c>
      <c r="I121" s="293">
        <f t="shared" si="18"/>
        <v>0</v>
      </c>
      <c r="J121" s="293">
        <f>ROUND(D121/1000,0)</f>
        <v>142</v>
      </c>
      <c r="K121" s="294">
        <f t="shared" si="10"/>
        <v>0.302771855010661</v>
      </c>
      <c r="L121" s="279">
        <f>J121-'[6]Marts'!J121</f>
        <v>38</v>
      </c>
      <c r="M121" s="265"/>
    </row>
    <row r="122" spans="1:13" ht="12.75">
      <c r="A122" s="290" t="s">
        <v>347</v>
      </c>
      <c r="B122" s="291">
        <f>36515639-32186474-468801</f>
        <v>3860364</v>
      </c>
      <c r="C122" s="292"/>
      <c r="D122" s="291">
        <f>3381445-142168</f>
        <v>3239277</v>
      </c>
      <c r="E122" s="278">
        <f t="shared" si="9"/>
        <v>0.8391118039646003</v>
      </c>
      <c r="F122" s="282">
        <f>D122-'[6]Marts'!D122</f>
        <v>71166</v>
      </c>
      <c r="G122" s="290" t="s">
        <v>347</v>
      </c>
      <c r="H122" s="293">
        <f>ROUND(B122/1000,0)</f>
        <v>3860</v>
      </c>
      <c r="I122" s="293">
        <f t="shared" si="18"/>
        <v>0</v>
      </c>
      <c r="J122" s="293">
        <f t="shared" si="18"/>
        <v>3239</v>
      </c>
      <c r="K122" s="294">
        <f t="shared" si="10"/>
        <v>0.839119170984456</v>
      </c>
      <c r="L122" s="279">
        <f>J122-'[6]Marts'!J122</f>
        <v>71</v>
      </c>
      <c r="M122" s="265"/>
    </row>
    <row r="123" spans="1:13" ht="12.75">
      <c r="A123" s="205" t="s">
        <v>312</v>
      </c>
      <c r="B123" s="291">
        <f>SUM(B124:B124)</f>
        <v>36168751</v>
      </c>
      <c r="C123" s="292">
        <f>SUM(C124)</f>
        <v>13638743</v>
      </c>
      <c r="D123" s="291">
        <f>SUM(D124:D124)</f>
        <v>11958019</v>
      </c>
      <c r="E123" s="278">
        <f t="shared" si="9"/>
        <v>0.33061741612255285</v>
      </c>
      <c r="F123" s="295">
        <f>SUM(F124:F124)</f>
        <v>2821503</v>
      </c>
      <c r="G123" s="205" t="s">
        <v>312</v>
      </c>
      <c r="H123" s="283">
        <f>SUM(H124:H124)</f>
        <v>36169</v>
      </c>
      <c r="I123" s="283">
        <f>SUM(I124:I124)</f>
        <v>13639</v>
      </c>
      <c r="J123" s="283">
        <f>SUM(J124:J124)</f>
        <v>11958</v>
      </c>
      <c r="K123" s="280">
        <f t="shared" si="10"/>
        <v>0.3306146147253173</v>
      </c>
      <c r="L123" s="283">
        <f>SUM(L124:L124)</f>
        <v>2821</v>
      </c>
      <c r="M123" s="265"/>
    </row>
    <row r="124" spans="1:13" ht="12.75">
      <c r="A124" s="290" t="s">
        <v>351</v>
      </c>
      <c r="B124" s="291">
        <v>36168751</v>
      </c>
      <c r="C124" s="292">
        <f>10679207+2959536</f>
        <v>13638743</v>
      </c>
      <c r="D124" s="291">
        <v>11958019</v>
      </c>
      <c r="E124" s="296">
        <f t="shared" si="9"/>
        <v>0.33061741612255285</v>
      </c>
      <c r="F124" s="282">
        <f>D124-'[6]Marts'!D124</f>
        <v>2821503</v>
      </c>
      <c r="G124" s="290" t="s">
        <v>351</v>
      </c>
      <c r="H124" s="293">
        <f>ROUND(B124/1000,0)</f>
        <v>36169</v>
      </c>
      <c r="I124" s="293">
        <f>ROUND(C124/1000,0)</f>
        <v>13639</v>
      </c>
      <c r="J124" s="293">
        <f>ROUND(D124/1000,0)</f>
        <v>11958</v>
      </c>
      <c r="K124" s="294">
        <f t="shared" si="10"/>
        <v>0.3306146147253173</v>
      </c>
      <c r="L124" s="279">
        <f>J124-'[6]Marts'!J124</f>
        <v>2821</v>
      </c>
      <c r="M124" s="297"/>
    </row>
    <row r="125" spans="1:13" ht="12.75">
      <c r="A125" s="205" t="s">
        <v>307</v>
      </c>
      <c r="B125" s="277">
        <f>SUM(B119-B123)</f>
        <v>346888</v>
      </c>
      <c r="C125" s="284">
        <f>SUM(C119-C123)</f>
        <v>53449</v>
      </c>
      <c r="D125" s="277">
        <f>SUM(D119-D123)</f>
        <v>1299705</v>
      </c>
      <c r="E125" s="278">
        <f t="shared" si="9"/>
        <v>3.7467568783007774</v>
      </c>
      <c r="F125" s="282">
        <f>D125-'[6]Marts'!D125</f>
        <v>-315038</v>
      </c>
      <c r="G125" s="205" t="s">
        <v>307</v>
      </c>
      <c r="H125" s="283">
        <f>SUM(H119-H123)</f>
        <v>346</v>
      </c>
      <c r="I125" s="283">
        <f>SUM(I119-I123)</f>
        <v>53</v>
      </c>
      <c r="J125" s="283">
        <f>SUM(J119-J123)</f>
        <v>1299</v>
      </c>
      <c r="K125" s="280">
        <f t="shared" si="10"/>
        <v>3.754335260115607</v>
      </c>
      <c r="L125" s="279">
        <f>J125-'[6]Marts'!J125</f>
        <v>-316</v>
      </c>
      <c r="M125" s="265"/>
    </row>
    <row r="126" spans="1:13" ht="12.75">
      <c r="A126" s="213" t="s">
        <v>353</v>
      </c>
      <c r="B126" s="277"/>
      <c r="C126" s="284"/>
      <c r="D126" s="277"/>
      <c r="E126" s="278" t="str">
        <f t="shared" si="9"/>
        <v> </v>
      </c>
      <c r="F126" s="282"/>
      <c r="G126" s="213" t="s">
        <v>353</v>
      </c>
      <c r="H126" s="283"/>
      <c r="I126" s="283"/>
      <c r="J126" s="283"/>
      <c r="K126" s="280" t="str">
        <f t="shared" si="10"/>
        <v> </v>
      </c>
      <c r="L126" s="283"/>
      <c r="M126" s="265"/>
    </row>
    <row r="127" spans="1:13" ht="12.75">
      <c r="A127" s="205" t="s">
        <v>310</v>
      </c>
      <c r="B127" s="277">
        <f>SUM(B128:B130)</f>
        <v>1057977</v>
      </c>
      <c r="C127" s="284">
        <f>244731+86862</f>
        <v>331593</v>
      </c>
      <c r="D127" s="277">
        <f>SUM(D128:D130)</f>
        <v>329349</v>
      </c>
      <c r="E127" s="278">
        <f t="shared" si="9"/>
        <v>0.31130071825758027</v>
      </c>
      <c r="F127" s="282">
        <f>SUM(F128:F130)</f>
        <v>68672</v>
      </c>
      <c r="G127" s="205" t="s">
        <v>310</v>
      </c>
      <c r="H127" s="283">
        <f>SUM(H128:H130)</f>
        <v>1058</v>
      </c>
      <c r="I127" s="293">
        <f>ROUND(C127/1000,0)</f>
        <v>332</v>
      </c>
      <c r="J127" s="283">
        <f>SUM(J128:J130)</f>
        <v>320</v>
      </c>
      <c r="K127" s="280">
        <f t="shared" si="10"/>
        <v>0.30245746691871456</v>
      </c>
      <c r="L127" s="283">
        <f>SUM(L128:L130)</f>
        <v>69</v>
      </c>
      <c r="M127" s="265"/>
    </row>
    <row r="128" spans="1:13" ht="12.75">
      <c r="A128" s="290" t="s">
        <v>345</v>
      </c>
      <c r="B128" s="291">
        <v>1041327</v>
      </c>
      <c r="C128" s="292"/>
      <c r="D128" s="291">
        <v>319526</v>
      </c>
      <c r="E128" s="278">
        <f t="shared" si="9"/>
        <v>0.3068450160228247</v>
      </c>
      <c r="F128" s="282">
        <f>D128-'[6]Marts'!D128</f>
        <v>77539</v>
      </c>
      <c r="G128" s="290" t="s">
        <v>345</v>
      </c>
      <c r="H128" s="293">
        <f>ROUND(B128/1000,0)</f>
        <v>1041</v>
      </c>
      <c r="I128" s="293">
        <f>ROUND(C128/1000,0)</f>
        <v>0</v>
      </c>
      <c r="J128" s="293">
        <f>ROUND(D128/1000,0)</f>
        <v>320</v>
      </c>
      <c r="K128" s="294">
        <f t="shared" si="10"/>
        <v>0.30739673390970224</v>
      </c>
      <c r="L128" s="279">
        <f>J128-'[6]Marts'!J128</f>
        <v>78</v>
      </c>
      <c r="M128" s="265"/>
    </row>
    <row r="129" spans="1:13" ht="12.75">
      <c r="A129" s="290"/>
      <c r="B129" s="291"/>
      <c r="C129" s="292"/>
      <c r="D129" s="291">
        <v>9823</v>
      </c>
      <c r="E129" s="278" t="str">
        <f t="shared" si="9"/>
        <v> </v>
      </c>
      <c r="F129" s="295"/>
      <c r="G129" s="290"/>
      <c r="H129" s="298"/>
      <c r="I129" s="298"/>
      <c r="J129" s="298"/>
      <c r="K129" s="294" t="str">
        <f t="shared" si="10"/>
        <v> </v>
      </c>
      <c r="L129" s="298"/>
      <c r="M129" s="265"/>
    </row>
    <row r="130" spans="1:13" ht="12.75">
      <c r="A130" s="290" t="s">
        <v>347</v>
      </c>
      <c r="B130" s="291">
        <v>16650</v>
      </c>
      <c r="C130" s="292"/>
      <c r="D130" s="291"/>
      <c r="E130" s="278">
        <f t="shared" si="9"/>
        <v>0</v>
      </c>
      <c r="F130" s="282">
        <f>D130-'[6]Marts'!D130</f>
        <v>-8867</v>
      </c>
      <c r="G130" s="290" t="s">
        <v>347</v>
      </c>
      <c r="H130" s="293">
        <f>ROUND(B130/1000,0)</f>
        <v>17</v>
      </c>
      <c r="I130" s="293">
        <f>ROUND(C130/1000,0)</f>
        <v>0</v>
      </c>
      <c r="J130" s="293">
        <f>ROUND(D130/1000,0)</f>
        <v>0</v>
      </c>
      <c r="K130" s="294">
        <f t="shared" si="10"/>
        <v>0</v>
      </c>
      <c r="L130" s="279">
        <f>J130-'[6]Marts'!J130</f>
        <v>-9</v>
      </c>
      <c r="M130" s="265"/>
    </row>
    <row r="131" spans="1:13" ht="12.75">
      <c r="A131" s="205" t="s">
        <v>312</v>
      </c>
      <c r="B131" s="291">
        <f>SUM(B132:B133)</f>
        <v>1192801</v>
      </c>
      <c r="C131" s="284">
        <f>SUM(C132)</f>
        <v>265282</v>
      </c>
      <c r="D131" s="291">
        <f>SUM(D132:D133)</f>
        <v>250474</v>
      </c>
      <c r="E131" s="278">
        <f t="shared" si="9"/>
        <v>0.20998808686444764</v>
      </c>
      <c r="F131" s="295">
        <f>SUM(F132:F133)</f>
        <v>62374</v>
      </c>
      <c r="G131" s="205" t="s">
        <v>312</v>
      </c>
      <c r="H131" s="283">
        <f>SUM(H132:H133)</f>
        <v>1193</v>
      </c>
      <c r="I131" s="283">
        <f>SUM(I132:I133)</f>
        <v>265</v>
      </c>
      <c r="J131" s="283">
        <f>SUM(J132:J133)</f>
        <v>250</v>
      </c>
      <c r="K131" s="280">
        <f t="shared" si="10"/>
        <v>0.20955574182732606</v>
      </c>
      <c r="L131" s="283">
        <f>SUM(L132:L133)</f>
        <v>62</v>
      </c>
      <c r="M131" s="265"/>
    </row>
    <row r="132" spans="1:13" ht="12" customHeight="1">
      <c r="A132" s="205" t="s">
        <v>351</v>
      </c>
      <c r="B132" s="277">
        <v>1192801</v>
      </c>
      <c r="C132" s="284">
        <f>197943+67339</f>
        <v>265282</v>
      </c>
      <c r="D132" s="277">
        <v>250474</v>
      </c>
      <c r="E132" s="278">
        <f t="shared" si="9"/>
        <v>0.20998808686444764</v>
      </c>
      <c r="F132" s="282">
        <f>D132-'[6]Marts'!D132</f>
        <v>62374</v>
      </c>
      <c r="G132" s="290" t="s">
        <v>351</v>
      </c>
      <c r="H132" s="293">
        <f>ROUND(B132/1000,0)</f>
        <v>1193</v>
      </c>
      <c r="I132" s="293">
        <f>ROUND(C132/1000,0)</f>
        <v>265</v>
      </c>
      <c r="J132" s="293">
        <f>ROUND(D132/1000,0)</f>
        <v>250</v>
      </c>
      <c r="K132" s="294">
        <f t="shared" si="10"/>
        <v>0.20955574182732606</v>
      </c>
      <c r="L132" s="279">
        <f>J132-'[6]Marts'!J132</f>
        <v>62</v>
      </c>
      <c r="M132" s="265"/>
    </row>
    <row r="133" spans="1:13" ht="12.75" hidden="1">
      <c r="A133" s="205"/>
      <c r="B133" s="277"/>
      <c r="C133" s="284"/>
      <c r="D133" s="277"/>
      <c r="E133" s="278" t="str">
        <f t="shared" si="9"/>
        <v> </v>
      </c>
      <c r="F133" s="282"/>
      <c r="G133" s="205"/>
      <c r="H133" s="283"/>
      <c r="I133" s="283"/>
      <c r="J133" s="283"/>
      <c r="K133" s="280" t="str">
        <f t="shared" si="10"/>
        <v> </v>
      </c>
      <c r="L133" s="283"/>
      <c r="M133" s="265"/>
    </row>
    <row r="134" spans="1:13" ht="12.75">
      <c r="A134" s="205" t="s">
        <v>307</v>
      </c>
      <c r="B134" s="277">
        <f>SUM(B127-B131)</f>
        <v>-134824</v>
      </c>
      <c r="C134" s="284">
        <f>SUM(C127-C131)</f>
        <v>66311</v>
      </c>
      <c r="D134" s="277">
        <f>SUM(D127-D131)</f>
        <v>78875</v>
      </c>
      <c r="E134" s="278">
        <f t="shared" si="9"/>
        <v>-0.5850219545481516</v>
      </c>
      <c r="F134" s="282">
        <f>D134-'[6]Marts'!D134</f>
        <v>16121</v>
      </c>
      <c r="G134" s="205" t="s">
        <v>307</v>
      </c>
      <c r="H134" s="283">
        <f>SUM(H127-H131)</f>
        <v>-135</v>
      </c>
      <c r="I134" s="283">
        <f>SUM(I127-I131)</f>
        <v>67</v>
      </c>
      <c r="J134" s="283">
        <f>SUM(J127-J131)</f>
        <v>70</v>
      </c>
      <c r="K134" s="280">
        <f t="shared" si="10"/>
        <v>-0.5185185185185185</v>
      </c>
      <c r="L134" s="279">
        <f>J134-'[6]Marts'!J134</f>
        <v>7</v>
      </c>
      <c r="M134" s="265"/>
    </row>
    <row r="135" spans="1:13" ht="12.75">
      <c r="A135" s="205" t="s">
        <v>308</v>
      </c>
      <c r="B135" s="277">
        <v>134824</v>
      </c>
      <c r="C135" s="284">
        <f>18272+11276+17240+19523</f>
        <v>66311</v>
      </c>
      <c r="D135" s="277"/>
      <c r="E135" s="278">
        <f t="shared" si="9"/>
        <v>0</v>
      </c>
      <c r="F135" s="282">
        <f>D135-'[6]Marts'!D135</f>
        <v>0</v>
      </c>
      <c r="G135" s="205" t="s">
        <v>308</v>
      </c>
      <c r="H135" s="279">
        <f>ROUND(B135/1000,0)</f>
        <v>135</v>
      </c>
      <c r="I135" s="279">
        <f>ROUND(C135/1000,0)</f>
        <v>66</v>
      </c>
      <c r="J135" s="279">
        <f>ROUND(D135/1000,0)</f>
        <v>0</v>
      </c>
      <c r="K135" s="280">
        <f t="shared" si="10"/>
        <v>0</v>
      </c>
      <c r="L135" s="279">
        <f>J135-'[6]Marts'!J135</f>
        <v>0</v>
      </c>
      <c r="M135" s="265"/>
    </row>
    <row r="136" spans="1:13" ht="25.5">
      <c r="A136" s="91" t="s">
        <v>354</v>
      </c>
      <c r="B136" s="277"/>
      <c r="C136" s="284"/>
      <c r="D136" s="277"/>
      <c r="E136" s="278" t="str">
        <f t="shared" si="9"/>
        <v> </v>
      </c>
      <c r="F136" s="282"/>
      <c r="G136" s="91" t="s">
        <v>354</v>
      </c>
      <c r="H136" s="283"/>
      <c r="I136" s="283"/>
      <c r="J136" s="283"/>
      <c r="K136" s="280"/>
      <c r="L136" s="283"/>
      <c r="M136" s="265"/>
    </row>
    <row r="137" spans="1:13" ht="12.75">
      <c r="A137" s="205" t="s">
        <v>310</v>
      </c>
      <c r="B137" s="277">
        <f>SUM(B138:B140)</f>
        <v>84878185</v>
      </c>
      <c r="C137" s="284">
        <f>19614261+6967384</f>
        <v>26581645</v>
      </c>
      <c r="D137" s="277">
        <f>SUM(D138:D140)</f>
        <v>26171391</v>
      </c>
      <c r="E137" s="278">
        <f t="shared" si="9"/>
        <v>0.3083406060108378</v>
      </c>
      <c r="F137" s="282">
        <f>SUM(F138:F140)</f>
        <v>6379770</v>
      </c>
      <c r="G137" s="205" t="s">
        <v>310</v>
      </c>
      <c r="H137" s="283">
        <f>SUM(H138:H140)</f>
        <v>84878</v>
      </c>
      <c r="I137" s="279">
        <f>ROUND(C137/1000,0)</f>
        <v>26582</v>
      </c>
      <c r="J137" s="283">
        <f>SUM(J138:J140)</f>
        <v>26171</v>
      </c>
      <c r="K137" s="280">
        <f t="shared" si="10"/>
        <v>0.30833667145785715</v>
      </c>
      <c r="L137" s="283">
        <f>SUM(L138:L140)</f>
        <v>6379</v>
      </c>
      <c r="M137" s="265"/>
    </row>
    <row r="138" spans="1:13" ht="12.75">
      <c r="A138" s="290" t="s">
        <v>345</v>
      </c>
      <c r="B138" s="291">
        <v>84584160</v>
      </c>
      <c r="C138" s="292"/>
      <c r="D138" s="291">
        <v>25954279</v>
      </c>
      <c r="E138" s="278">
        <f t="shared" si="9"/>
        <v>0.3068456197945336</v>
      </c>
      <c r="F138" s="282">
        <f>D138-'[6]Marts'!D138</f>
        <v>6298349</v>
      </c>
      <c r="G138" s="290" t="s">
        <v>345</v>
      </c>
      <c r="H138" s="293">
        <f>ROUND(B138/1000,0)</f>
        <v>84584</v>
      </c>
      <c r="I138" s="293">
        <f>ROUND(C138/1000,0)</f>
        <v>0</v>
      </c>
      <c r="J138" s="293">
        <f>ROUND(D138/1000,0)</f>
        <v>25954</v>
      </c>
      <c r="K138" s="294">
        <f t="shared" si="10"/>
        <v>0.3068429017308238</v>
      </c>
      <c r="L138" s="279">
        <f>J138-'[6]Marts'!J138</f>
        <v>6298</v>
      </c>
      <c r="M138" s="265"/>
    </row>
    <row r="139" spans="1:13" ht="12.75">
      <c r="A139" s="290"/>
      <c r="B139" s="291"/>
      <c r="C139" s="292"/>
      <c r="D139" s="291"/>
      <c r="E139" s="278" t="str">
        <f t="shared" si="9"/>
        <v> </v>
      </c>
      <c r="F139" s="295"/>
      <c r="G139" s="290"/>
      <c r="H139" s="298"/>
      <c r="I139" s="298"/>
      <c r="J139" s="298"/>
      <c r="K139" s="294" t="str">
        <f t="shared" si="10"/>
        <v> </v>
      </c>
      <c r="L139" s="298"/>
      <c r="M139" s="265"/>
    </row>
    <row r="140" spans="1:13" ht="12.75">
      <c r="A140" s="290" t="s">
        <v>347</v>
      </c>
      <c r="B140" s="291">
        <v>294025</v>
      </c>
      <c r="C140" s="292"/>
      <c r="D140" s="291">
        <v>217112</v>
      </c>
      <c r="E140" s="278">
        <f aca="true" t="shared" si="19" ref="E140:E183">IF(ISERROR(D140/B140)," ",(D140/B140))</f>
        <v>0.7384134002210696</v>
      </c>
      <c r="F140" s="282">
        <f>D140-'[6]Marts'!D140</f>
        <v>81421</v>
      </c>
      <c r="G140" s="290" t="s">
        <v>347</v>
      </c>
      <c r="H140" s="293">
        <f>ROUND(B140/1000,0)</f>
        <v>294</v>
      </c>
      <c r="I140" s="293">
        <f>ROUND(C140/1000,0)</f>
        <v>0</v>
      </c>
      <c r="J140" s="293">
        <f>ROUND(D140/1000,0)</f>
        <v>217</v>
      </c>
      <c r="K140" s="294">
        <f t="shared" si="10"/>
        <v>0.7380952380952381</v>
      </c>
      <c r="L140" s="279">
        <f>J140-'[6]Marts'!J140</f>
        <v>81</v>
      </c>
      <c r="M140" s="265"/>
    </row>
    <row r="141" spans="1:13" ht="12.75">
      <c r="A141" s="205" t="s">
        <v>312</v>
      </c>
      <c r="B141" s="291">
        <f>B142</f>
        <v>95023500</v>
      </c>
      <c r="C141" s="292">
        <f>SUM(C142)</f>
        <v>35050995</v>
      </c>
      <c r="D141" s="291">
        <f>D142</f>
        <v>30432424</v>
      </c>
      <c r="E141" s="278">
        <f t="shared" si="19"/>
        <v>0.32026208253747757</v>
      </c>
      <c r="F141" s="295">
        <f>F142</f>
        <v>6543376</v>
      </c>
      <c r="G141" s="205" t="s">
        <v>312</v>
      </c>
      <c r="H141" s="283">
        <f>H142</f>
        <v>95024</v>
      </c>
      <c r="I141" s="283">
        <f>I142</f>
        <v>35051</v>
      </c>
      <c r="J141" s="283">
        <f>J142</f>
        <v>30432</v>
      </c>
      <c r="K141" s="280">
        <f aca="true" t="shared" si="20" ref="K141:K183">IF(ISERROR(ROUND(J141,0)/ROUND(H141,0))," ",(ROUND(J141,)/ROUND(H141,)))</f>
        <v>0.3202559353426503</v>
      </c>
      <c r="L141" s="283">
        <f>L142</f>
        <v>6543</v>
      </c>
      <c r="M141" s="265"/>
    </row>
    <row r="142" spans="1:13" ht="12.75">
      <c r="A142" s="205" t="s">
        <v>351</v>
      </c>
      <c r="B142" s="277">
        <v>95023500</v>
      </c>
      <c r="C142" s="284">
        <f>27496926+7554069</f>
        <v>35050995</v>
      </c>
      <c r="D142" s="277">
        <v>30432424</v>
      </c>
      <c r="E142" s="278">
        <f t="shared" si="19"/>
        <v>0.32026208253747757</v>
      </c>
      <c r="F142" s="282">
        <f>D142-'[6]Marts'!D142</f>
        <v>6543376</v>
      </c>
      <c r="G142" s="290" t="s">
        <v>351</v>
      </c>
      <c r="H142" s="293">
        <f>ROUND(B142/1000,0)</f>
        <v>95024</v>
      </c>
      <c r="I142" s="293">
        <f>ROUND(C142/1000,0)</f>
        <v>35051</v>
      </c>
      <c r="J142" s="293">
        <f>ROUND(D142/1000,0)</f>
        <v>30432</v>
      </c>
      <c r="K142" s="294">
        <f t="shared" si="20"/>
        <v>0.3202559353426503</v>
      </c>
      <c r="L142" s="279">
        <f>J142-'[6]Marts'!J142</f>
        <v>6543</v>
      </c>
      <c r="M142" s="265"/>
    </row>
    <row r="143" spans="1:13" ht="12.75">
      <c r="A143" s="205" t="s">
        <v>307</v>
      </c>
      <c r="B143" s="277">
        <f>SUM(B137-B141)</f>
        <v>-10145315</v>
      </c>
      <c r="C143" s="284">
        <f>SUM(C137-C141)</f>
        <v>-8469350</v>
      </c>
      <c r="D143" s="277">
        <f>SUM(D137-D141)</f>
        <v>-4261033</v>
      </c>
      <c r="E143" s="278">
        <f t="shared" si="19"/>
        <v>0.4200000689973648</v>
      </c>
      <c r="F143" s="282">
        <f>D143-'[6]Marts'!D143</f>
        <v>-163606</v>
      </c>
      <c r="G143" s="205" t="s">
        <v>307</v>
      </c>
      <c r="H143" s="283">
        <f>SUM(H137-H141)</f>
        <v>-10146</v>
      </c>
      <c r="I143" s="283">
        <f>SUM(I137-I141)</f>
        <v>-8469</v>
      </c>
      <c r="J143" s="283">
        <f>SUM(J137-J141)</f>
        <v>-4261</v>
      </c>
      <c r="K143" s="280">
        <f t="shared" si="20"/>
        <v>0.4199684604770353</v>
      </c>
      <c r="L143" s="279">
        <f>J143-'[6]Marts'!J143</f>
        <v>-164</v>
      </c>
      <c r="M143" s="265"/>
    </row>
    <row r="144" spans="1:13" ht="12.75">
      <c r="A144" s="205" t="s">
        <v>308</v>
      </c>
      <c r="B144" s="277">
        <v>10145315</v>
      </c>
      <c r="C144" s="284">
        <f>2719956+2777640+2385069+586685</f>
        <v>8469350</v>
      </c>
      <c r="D144" s="277">
        <v>4261244</v>
      </c>
      <c r="E144" s="278">
        <f t="shared" si="19"/>
        <v>0.4200208667744668</v>
      </c>
      <c r="F144" s="282">
        <f>D144-'[6]Marts'!D144</f>
        <v>163369</v>
      </c>
      <c r="G144" s="205" t="s">
        <v>308</v>
      </c>
      <c r="H144" s="279">
        <f>ROUND(B144/1000,0)</f>
        <v>10145</v>
      </c>
      <c r="I144" s="279">
        <f>ROUND(C144/1000,0)</f>
        <v>8469</v>
      </c>
      <c r="J144" s="279">
        <f>ROUND(D144/1000,0)</f>
        <v>4261</v>
      </c>
      <c r="K144" s="280">
        <f t="shared" si="20"/>
        <v>0.4200098570724495</v>
      </c>
      <c r="L144" s="279">
        <f>J144-'[6]Marts'!J144</f>
        <v>163</v>
      </c>
      <c r="M144" s="265"/>
    </row>
    <row r="145" spans="1:13" ht="12.75">
      <c r="A145" s="213" t="s">
        <v>355</v>
      </c>
      <c r="B145" s="277"/>
      <c r="C145" s="284"/>
      <c r="D145" s="277"/>
      <c r="E145" s="278" t="str">
        <f t="shared" si="19"/>
        <v> </v>
      </c>
      <c r="F145" s="282"/>
      <c r="G145" s="213" t="s">
        <v>355</v>
      </c>
      <c r="H145" s="283"/>
      <c r="I145" s="283"/>
      <c r="J145" s="283"/>
      <c r="K145" s="280"/>
      <c r="L145" s="283"/>
      <c r="M145" s="265"/>
    </row>
    <row r="146" spans="1:13" ht="12.75">
      <c r="A146" s="205" t="s">
        <v>310</v>
      </c>
      <c r="B146" s="277">
        <f>SUM(B147:B148)</f>
        <v>10125184</v>
      </c>
      <c r="C146" s="284">
        <f>2638792+899817</f>
        <v>3538609</v>
      </c>
      <c r="D146" s="277">
        <f>SUM(D147:D148)</f>
        <v>3538609</v>
      </c>
      <c r="E146" s="278">
        <f t="shared" si="19"/>
        <v>0.3494858957624869</v>
      </c>
      <c r="F146" s="282">
        <f>SUM(F147:F148)</f>
        <v>899817</v>
      </c>
      <c r="G146" s="205" t="s">
        <v>310</v>
      </c>
      <c r="H146" s="283">
        <f>SUM(H147:H148)</f>
        <v>10125</v>
      </c>
      <c r="I146" s="279">
        <f aca="true" t="shared" si="21" ref="H146:J148">ROUND(C146/1000,0)</f>
        <v>3539</v>
      </c>
      <c r="J146" s="283">
        <f>SUM(J147:J148)</f>
        <v>3538</v>
      </c>
      <c r="K146" s="280">
        <f t="shared" si="20"/>
        <v>0.3494320987654321</v>
      </c>
      <c r="L146" s="279">
        <f>SUM(L147:L148)</f>
        <v>899</v>
      </c>
      <c r="M146" s="265"/>
    </row>
    <row r="147" spans="1:13" ht="12.75">
      <c r="A147" s="290" t="s">
        <v>346</v>
      </c>
      <c r="B147" s="291">
        <f>280000+1890000</f>
        <v>2170000</v>
      </c>
      <c r="C147" s="292"/>
      <c r="D147" s="291">
        <v>760419</v>
      </c>
      <c r="E147" s="278">
        <f t="shared" si="19"/>
        <v>0.3504235023041475</v>
      </c>
      <c r="F147" s="282">
        <f>D147-'[6]Marts'!D147</f>
        <v>251260</v>
      </c>
      <c r="G147" s="290" t="s">
        <v>346</v>
      </c>
      <c r="H147" s="293">
        <f t="shared" si="21"/>
        <v>2170</v>
      </c>
      <c r="I147" s="293">
        <f t="shared" si="21"/>
        <v>0</v>
      </c>
      <c r="J147" s="293">
        <f>ROUND(D147/1000,0)</f>
        <v>760</v>
      </c>
      <c r="K147" s="294">
        <f t="shared" si="20"/>
        <v>0.35023041474654376</v>
      </c>
      <c r="L147" s="279">
        <f>J147-'[6]Marts'!J147</f>
        <v>251</v>
      </c>
      <c r="M147" s="265"/>
    </row>
    <row r="148" spans="1:13" ht="12.75">
      <c r="A148" s="290" t="s">
        <v>347</v>
      </c>
      <c r="B148" s="291">
        <f>10125184-2170000</f>
        <v>7955184</v>
      </c>
      <c r="C148" s="292"/>
      <c r="D148" s="291">
        <f>3538609-760419</f>
        <v>2778190</v>
      </c>
      <c r="E148" s="278">
        <f t="shared" si="19"/>
        <v>0.3492301372287555</v>
      </c>
      <c r="F148" s="282">
        <f>D148-'[6]Marts'!D148</f>
        <v>648557</v>
      </c>
      <c r="G148" s="290" t="s">
        <v>347</v>
      </c>
      <c r="H148" s="293">
        <f t="shared" si="21"/>
        <v>7955</v>
      </c>
      <c r="I148" s="293">
        <f t="shared" si="21"/>
        <v>0</v>
      </c>
      <c r="J148" s="293">
        <f t="shared" si="21"/>
        <v>2778</v>
      </c>
      <c r="K148" s="294">
        <f t="shared" si="20"/>
        <v>0.34921433060967944</v>
      </c>
      <c r="L148" s="279">
        <f>J148-'[6]Marts'!J148</f>
        <v>648</v>
      </c>
      <c r="M148" s="265"/>
    </row>
    <row r="149" spans="1:13" ht="12.75">
      <c r="A149" s="205" t="s">
        <v>312</v>
      </c>
      <c r="B149" s="277">
        <f>SUM(B150:B151)</f>
        <v>14076184</v>
      </c>
      <c r="C149" s="284">
        <f>SUM(C150:C151)</f>
        <v>5047013</v>
      </c>
      <c r="D149" s="277">
        <f>SUM(D150:D151)</f>
        <v>3526469</v>
      </c>
      <c r="E149" s="278">
        <f t="shared" si="19"/>
        <v>0.25052734462692444</v>
      </c>
      <c r="F149" s="282">
        <f>SUM(F150:F151)</f>
        <v>890942</v>
      </c>
      <c r="G149" s="205" t="s">
        <v>312</v>
      </c>
      <c r="H149" s="283">
        <f>SUM(H150:H151)</f>
        <v>14076</v>
      </c>
      <c r="I149" s="283">
        <f>SUM(I150:I151)</f>
        <v>5047</v>
      </c>
      <c r="J149" s="283">
        <f>SUM(J150:J151)</f>
        <v>3527</v>
      </c>
      <c r="K149" s="280">
        <f t="shared" si="20"/>
        <v>0.25056834327934074</v>
      </c>
      <c r="L149" s="283">
        <f>SUM(L150:L151)</f>
        <v>892</v>
      </c>
      <c r="M149" s="265"/>
    </row>
    <row r="150" spans="1:13" ht="12.75">
      <c r="A150" s="63" t="s">
        <v>351</v>
      </c>
      <c r="B150" s="277">
        <v>9845184</v>
      </c>
      <c r="C150" s="284">
        <f>2551292+807317</f>
        <v>3358609</v>
      </c>
      <c r="D150" s="277">
        <v>2998964</v>
      </c>
      <c r="E150" s="278">
        <f t="shared" si="19"/>
        <v>0.30461228556012765</v>
      </c>
      <c r="F150" s="282">
        <f>D150-'[6]Marts'!D150</f>
        <v>849581</v>
      </c>
      <c r="G150" s="299" t="s">
        <v>351</v>
      </c>
      <c r="H150" s="293">
        <f aca="true" t="shared" si="22" ref="H150:J151">ROUND(B150/1000,0)</f>
        <v>9845</v>
      </c>
      <c r="I150" s="293">
        <f t="shared" si="22"/>
        <v>3359</v>
      </c>
      <c r="J150" s="293">
        <f t="shared" si="22"/>
        <v>2999</v>
      </c>
      <c r="K150" s="294">
        <f t="shared" si="20"/>
        <v>0.30462163534789233</v>
      </c>
      <c r="L150" s="279">
        <f>J150-'[6]Marts'!J150</f>
        <v>850</v>
      </c>
      <c r="M150" s="265"/>
    </row>
    <row r="151" spans="1:13" ht="12.75">
      <c r="A151" s="63" t="s">
        <v>356</v>
      </c>
      <c r="B151" s="277">
        <v>4231000</v>
      </c>
      <c r="C151" s="284">
        <f>1006813+681591</f>
        <v>1688404</v>
      </c>
      <c r="D151" s="277">
        <v>527505</v>
      </c>
      <c r="E151" s="278">
        <f t="shared" si="19"/>
        <v>0.12467619948002837</v>
      </c>
      <c r="F151" s="282">
        <f>D151-'[6]Marts'!D151</f>
        <v>41361</v>
      </c>
      <c r="G151" s="299" t="s">
        <v>356</v>
      </c>
      <c r="H151" s="293">
        <f t="shared" si="22"/>
        <v>4231</v>
      </c>
      <c r="I151" s="293">
        <f t="shared" si="22"/>
        <v>1688</v>
      </c>
      <c r="J151" s="293">
        <f t="shared" si="22"/>
        <v>528</v>
      </c>
      <c r="K151" s="294">
        <f t="shared" si="20"/>
        <v>0.12479319309855826</v>
      </c>
      <c r="L151" s="279">
        <f>J151-'[6]Marts'!J151</f>
        <v>42</v>
      </c>
      <c r="M151" s="265"/>
    </row>
    <row r="152" spans="1:13" ht="12.75">
      <c r="A152" s="205" t="s">
        <v>307</v>
      </c>
      <c r="B152" s="277">
        <f>SUM(B146-B149)</f>
        <v>-3951000</v>
      </c>
      <c r="C152" s="284">
        <f>SUM(C146-C149)</f>
        <v>-1508404</v>
      </c>
      <c r="D152" s="277">
        <f>SUM(D146-D149)</f>
        <v>12140</v>
      </c>
      <c r="E152" s="278">
        <f t="shared" si="19"/>
        <v>-0.0030726398380156923</v>
      </c>
      <c r="F152" s="282">
        <f>D152-'[6]Marts'!D152</f>
        <v>8875</v>
      </c>
      <c r="G152" s="205" t="s">
        <v>307</v>
      </c>
      <c r="H152" s="283">
        <f>SUM(H146-H149)</f>
        <v>-3951</v>
      </c>
      <c r="I152" s="283">
        <f>SUM(I146-I149)</f>
        <v>-1508</v>
      </c>
      <c r="J152" s="283">
        <f>SUM(J146-J149)</f>
        <v>11</v>
      </c>
      <c r="K152" s="280">
        <f t="shared" si="20"/>
        <v>-0.0027841052898000505</v>
      </c>
      <c r="L152" s="279">
        <f>J152-'[6]Marts'!J152</f>
        <v>7</v>
      </c>
      <c r="M152" s="265"/>
    </row>
    <row r="153" spans="1:13" ht="12.75">
      <c r="A153" s="205" t="s">
        <v>308</v>
      </c>
      <c r="B153" s="277">
        <v>3951000</v>
      </c>
      <c r="C153" s="284">
        <f>130241+396941+392131+589091</f>
        <v>1508404</v>
      </c>
      <c r="D153" s="277">
        <v>477268</v>
      </c>
      <c r="E153" s="278">
        <f t="shared" si="19"/>
        <v>0.12079676031384459</v>
      </c>
      <c r="F153" s="282">
        <f>D153-'[6]Marts'!D153</f>
        <v>31746</v>
      </c>
      <c r="G153" s="205" t="s">
        <v>308</v>
      </c>
      <c r="H153" s="279">
        <f>ROUND(B153/1000,0)</f>
        <v>3951</v>
      </c>
      <c r="I153" s="279">
        <f>ROUND(C153/1000,0)</f>
        <v>1508</v>
      </c>
      <c r="J153" s="279">
        <f>ROUND(D153/1000,0)</f>
        <v>477</v>
      </c>
      <c r="K153" s="280">
        <f t="shared" si="20"/>
        <v>0.12072892938496584</v>
      </c>
      <c r="L153" s="279">
        <f>J153-'[6]Marts'!J153</f>
        <v>31</v>
      </c>
      <c r="M153" s="265"/>
    </row>
    <row r="154" spans="1:13" ht="25.5">
      <c r="A154" s="71" t="s">
        <v>201</v>
      </c>
      <c r="B154" s="6"/>
      <c r="C154" s="200"/>
      <c r="D154" s="6"/>
      <c r="E154" s="278" t="str">
        <f t="shared" si="19"/>
        <v> </v>
      </c>
      <c r="F154" s="276"/>
      <c r="G154" s="71" t="s">
        <v>201</v>
      </c>
      <c r="H154" s="272"/>
      <c r="I154" s="272"/>
      <c r="J154" s="272"/>
      <c r="K154" s="280"/>
      <c r="L154" s="272"/>
      <c r="M154" s="265"/>
    </row>
    <row r="155" spans="1:13" ht="12.75">
      <c r="A155" s="213" t="s">
        <v>357</v>
      </c>
      <c r="B155" s="277"/>
      <c r="C155" s="284"/>
      <c r="D155" s="277"/>
      <c r="E155" s="278" t="str">
        <f t="shared" si="19"/>
        <v> </v>
      </c>
      <c r="F155" s="282"/>
      <c r="G155" s="213" t="s">
        <v>357</v>
      </c>
      <c r="H155" s="283"/>
      <c r="I155" s="283"/>
      <c r="J155" s="283"/>
      <c r="K155" s="280"/>
      <c r="L155" s="283"/>
      <c r="M155" s="265"/>
    </row>
    <row r="156" spans="1:13" ht="12.75">
      <c r="A156" s="205" t="s">
        <v>310</v>
      </c>
      <c r="B156" s="277">
        <f>SUM(B157:B159)</f>
        <v>8568100</v>
      </c>
      <c r="C156" s="277">
        <v>3062503</v>
      </c>
      <c r="D156" s="277">
        <f>SUM(D157:D159)</f>
        <v>2804600</v>
      </c>
      <c r="E156" s="278">
        <f t="shared" si="19"/>
        <v>0.32733044665678507</v>
      </c>
      <c r="F156" s="282">
        <f>SUM(F157:F159)</f>
        <v>638049</v>
      </c>
      <c r="G156" s="205" t="s">
        <v>310</v>
      </c>
      <c r="H156" s="283">
        <f>SUM(H157:H159)</f>
        <v>8568</v>
      </c>
      <c r="I156" s="279">
        <f>ROUND(C156/1000,0)</f>
        <v>3063</v>
      </c>
      <c r="J156" s="283">
        <f>SUM(J157:J159)</f>
        <v>2805</v>
      </c>
      <c r="K156" s="280">
        <f t="shared" si="20"/>
        <v>0.3273809523809524</v>
      </c>
      <c r="L156" s="283">
        <f>SUM(L157:L159)</f>
        <v>639</v>
      </c>
      <c r="M156" s="265"/>
    </row>
    <row r="157" spans="1:13" ht="12.75">
      <c r="A157" s="205" t="s">
        <v>358</v>
      </c>
      <c r="B157" s="277">
        <v>8000000</v>
      </c>
      <c r="C157" s="284"/>
      <c r="D157" s="277">
        <v>2622375</v>
      </c>
      <c r="E157" s="278">
        <f t="shared" si="19"/>
        <v>0.327796875</v>
      </c>
      <c r="F157" s="282">
        <f>D157-'[6]Marts'!D157</f>
        <v>612071</v>
      </c>
      <c r="G157" s="205" t="s">
        <v>358</v>
      </c>
      <c r="H157" s="279">
        <f>ROUND(B157/1000,0)</f>
        <v>8000</v>
      </c>
      <c r="I157" s="279">
        <f>ROUND(C157/1000,0)</f>
        <v>0</v>
      </c>
      <c r="J157" s="279">
        <f>ROUND(D157/1000,0)</f>
        <v>2622</v>
      </c>
      <c r="K157" s="280">
        <f t="shared" si="20"/>
        <v>0.32775</v>
      </c>
      <c r="L157" s="279">
        <f>J157-'[6]Marts'!J157</f>
        <v>612</v>
      </c>
      <c r="M157" s="265"/>
    </row>
    <row r="158" spans="1:13" ht="12.75">
      <c r="A158" s="205" t="s">
        <v>359</v>
      </c>
      <c r="B158" s="277">
        <v>350000</v>
      </c>
      <c r="C158" s="284"/>
      <c r="D158" s="277">
        <v>158696</v>
      </c>
      <c r="E158" s="278">
        <f t="shared" si="19"/>
        <v>0.45341714285714285</v>
      </c>
      <c r="F158" s="282">
        <f>D158-'[6]Marts'!D158</f>
        <v>23165</v>
      </c>
      <c r="G158" s="205" t="s">
        <v>359</v>
      </c>
      <c r="H158" s="279">
        <f>ROUND(B158/1000,0)</f>
        <v>350</v>
      </c>
      <c r="I158" s="279">
        <f>ROUND(C158/1000,0)</f>
        <v>0</v>
      </c>
      <c r="J158" s="279">
        <f>ROUND(D158/1000,0)</f>
        <v>159</v>
      </c>
      <c r="K158" s="280">
        <f t="shared" si="20"/>
        <v>0.4542857142857143</v>
      </c>
      <c r="L158" s="279">
        <f>J158-'[6]Marts'!J158</f>
        <v>24</v>
      </c>
      <c r="M158" s="265"/>
    </row>
    <row r="159" spans="1:13" ht="12.75">
      <c r="A159" s="205" t="s">
        <v>239</v>
      </c>
      <c r="B159" s="277">
        <f>150000+68100</f>
        <v>218100</v>
      </c>
      <c r="C159" s="284"/>
      <c r="D159" s="277">
        <f>7260+16269</f>
        <v>23529</v>
      </c>
      <c r="E159" s="278">
        <f t="shared" si="19"/>
        <v>0.10788170563961486</v>
      </c>
      <c r="F159" s="282">
        <f>D159-'[6]Marts'!D159</f>
        <v>2813</v>
      </c>
      <c r="G159" s="205" t="s">
        <v>239</v>
      </c>
      <c r="H159" s="279">
        <f>ROUND(B159/1000,0)</f>
        <v>218</v>
      </c>
      <c r="I159" s="279">
        <f>ROUND(C159/1000,0)</f>
        <v>0</v>
      </c>
      <c r="J159" s="279">
        <f>ROUND(D159/1000,0)</f>
        <v>24</v>
      </c>
      <c r="K159" s="280">
        <f t="shared" si="20"/>
        <v>0.11009174311926606</v>
      </c>
      <c r="L159" s="279">
        <f>J159-'[6]Marts'!J159</f>
        <v>3</v>
      </c>
      <c r="M159" s="265"/>
    </row>
    <row r="160" spans="1:13" ht="12.75">
      <c r="A160" s="205" t="s">
        <v>312</v>
      </c>
      <c r="B160" s="277">
        <f>SUM(B161:B162)</f>
        <v>8563245</v>
      </c>
      <c r="C160" s="284">
        <f>SUM(C161:C162)</f>
        <v>3057648</v>
      </c>
      <c r="D160" s="277">
        <f>SUM(D161:D162)</f>
        <v>1989770</v>
      </c>
      <c r="E160" s="278">
        <f t="shared" si="19"/>
        <v>0.23236168064793195</v>
      </c>
      <c r="F160" s="282">
        <f>SUM(F161:F162)</f>
        <v>445065</v>
      </c>
      <c r="G160" s="205" t="s">
        <v>312</v>
      </c>
      <c r="H160" s="283">
        <f>SUM(H161:H162)</f>
        <v>8563</v>
      </c>
      <c r="I160" s="283">
        <f>SUM(I161:I162)</f>
        <v>3057</v>
      </c>
      <c r="J160" s="283">
        <f>SUM(J161:J162)</f>
        <v>1990</v>
      </c>
      <c r="K160" s="280">
        <f t="shared" si="20"/>
        <v>0.23239518860212544</v>
      </c>
      <c r="L160" s="283">
        <f>SUM(L161:L162)</f>
        <v>446</v>
      </c>
      <c r="M160" s="265"/>
    </row>
    <row r="161" spans="1:13" ht="12.75">
      <c r="A161" s="205" t="s">
        <v>313</v>
      </c>
      <c r="B161" s="277">
        <v>3815245</v>
      </c>
      <c r="C161" s="284">
        <v>1491348</v>
      </c>
      <c r="D161" s="277">
        <v>1331778</v>
      </c>
      <c r="E161" s="278">
        <f t="shared" si="19"/>
        <v>0.3490674910785546</v>
      </c>
      <c r="F161" s="282">
        <f>D161-'[6]Marts'!D161</f>
        <v>410391</v>
      </c>
      <c r="G161" s="205" t="s">
        <v>313</v>
      </c>
      <c r="H161" s="279">
        <f aca="true" t="shared" si="23" ref="H161:J162">ROUND(B161/1000,0)</f>
        <v>3815</v>
      </c>
      <c r="I161" s="279">
        <f t="shared" si="23"/>
        <v>1491</v>
      </c>
      <c r="J161" s="279">
        <f t="shared" si="23"/>
        <v>1332</v>
      </c>
      <c r="K161" s="280">
        <f t="shared" si="20"/>
        <v>0.3491480996068152</v>
      </c>
      <c r="L161" s="279">
        <f>J161-'[6]Marts'!J161</f>
        <v>411</v>
      </c>
      <c r="M161" s="265"/>
    </row>
    <row r="162" spans="1:13" ht="12.75">
      <c r="A162" s="205" t="s">
        <v>304</v>
      </c>
      <c r="B162" s="277">
        <v>4748000</v>
      </c>
      <c r="C162" s="284">
        <v>1566300</v>
      </c>
      <c r="D162" s="277">
        <v>657992</v>
      </c>
      <c r="E162" s="278">
        <f t="shared" si="19"/>
        <v>0.13858298230834035</v>
      </c>
      <c r="F162" s="282">
        <f>D162-'[6]Marts'!D162</f>
        <v>34674</v>
      </c>
      <c r="G162" s="205" t="s">
        <v>304</v>
      </c>
      <c r="H162" s="279">
        <f t="shared" si="23"/>
        <v>4748</v>
      </c>
      <c r="I162" s="279">
        <f t="shared" si="23"/>
        <v>1566</v>
      </c>
      <c r="J162" s="279">
        <f t="shared" si="23"/>
        <v>658</v>
      </c>
      <c r="K162" s="280">
        <f t="shared" si="20"/>
        <v>0.13858466722830665</v>
      </c>
      <c r="L162" s="279">
        <f>J162-'[6]Marts'!J162</f>
        <v>35</v>
      </c>
      <c r="M162" s="265"/>
    </row>
    <row r="163" spans="1:13" ht="12.75">
      <c r="A163" s="213" t="s">
        <v>360</v>
      </c>
      <c r="B163" s="277"/>
      <c r="C163" s="284"/>
      <c r="D163" s="277"/>
      <c r="E163" s="278" t="str">
        <f t="shared" si="19"/>
        <v> </v>
      </c>
      <c r="F163" s="282"/>
      <c r="G163" s="213" t="s">
        <v>360</v>
      </c>
      <c r="H163" s="283"/>
      <c r="I163" s="283"/>
      <c r="J163" s="283"/>
      <c r="K163" s="280"/>
      <c r="L163" s="283"/>
      <c r="M163" s="265"/>
    </row>
    <row r="164" spans="1:13" ht="12.75">
      <c r="A164" s="205" t="s">
        <v>310</v>
      </c>
      <c r="B164" s="277">
        <v>228000</v>
      </c>
      <c r="C164" s="284">
        <v>228000</v>
      </c>
      <c r="D164" s="277">
        <v>443709</v>
      </c>
      <c r="E164" s="278">
        <f t="shared" si="19"/>
        <v>1.946092105263158</v>
      </c>
      <c r="F164" s="282">
        <f>D164-'[6]Marts'!D164</f>
        <v>0</v>
      </c>
      <c r="G164" s="205" t="s">
        <v>310</v>
      </c>
      <c r="H164" s="279">
        <f>ROUND(B164/1000,0)</f>
        <v>228</v>
      </c>
      <c r="I164" s="279">
        <f>ROUND(C164/1000,0)</f>
        <v>228</v>
      </c>
      <c r="J164" s="279">
        <f>ROUND(D164/1000,0)</f>
        <v>444</v>
      </c>
      <c r="K164" s="280">
        <f t="shared" si="20"/>
        <v>1.9473684210526316</v>
      </c>
      <c r="L164" s="279">
        <f>J164-'[6]Marts'!J164</f>
        <v>0</v>
      </c>
      <c r="M164" s="265"/>
    </row>
    <row r="165" spans="1:13" ht="12.75">
      <c r="A165" s="205" t="s">
        <v>312</v>
      </c>
      <c r="B165" s="277">
        <f>SUM(B166:B167)</f>
        <v>228000</v>
      </c>
      <c r="C165" s="284">
        <f>SUM(C166:C167)</f>
        <v>228000</v>
      </c>
      <c r="D165" s="277">
        <f>SUM(D166:D167)</f>
        <v>217404</v>
      </c>
      <c r="E165" s="278">
        <f t="shared" si="19"/>
        <v>0.9535263157894737</v>
      </c>
      <c r="F165" s="282">
        <f>SUM(F166:F167)</f>
        <v>7258</v>
      </c>
      <c r="G165" s="205" t="s">
        <v>312</v>
      </c>
      <c r="H165" s="283">
        <f>SUM(H166:H167)</f>
        <v>228</v>
      </c>
      <c r="I165" s="283">
        <f>SUM(I166:I167)</f>
        <v>228</v>
      </c>
      <c r="J165" s="283">
        <f>SUM(J166:J167)</f>
        <v>217</v>
      </c>
      <c r="K165" s="280">
        <f t="shared" si="20"/>
        <v>0.9517543859649122</v>
      </c>
      <c r="L165" s="283">
        <f>SUM(L166:L167)</f>
        <v>7</v>
      </c>
      <c r="M165" s="265"/>
    </row>
    <row r="166" spans="1:13" ht="12.75">
      <c r="A166" s="205" t="s">
        <v>313</v>
      </c>
      <c r="B166" s="277">
        <v>63556</v>
      </c>
      <c r="C166" s="284">
        <v>63556</v>
      </c>
      <c r="D166" s="277">
        <v>52960</v>
      </c>
      <c r="E166" s="278">
        <f t="shared" si="19"/>
        <v>0.8332808861476493</v>
      </c>
      <c r="F166" s="282">
        <f>D166-'[6]Marts'!D166</f>
        <v>7258</v>
      </c>
      <c r="G166" s="205" t="s">
        <v>313</v>
      </c>
      <c r="H166" s="279">
        <f aca="true" t="shared" si="24" ref="H166:J167">ROUND(B166/1000,0)</f>
        <v>64</v>
      </c>
      <c r="I166" s="279">
        <f t="shared" si="24"/>
        <v>64</v>
      </c>
      <c r="J166" s="279">
        <f t="shared" si="24"/>
        <v>53</v>
      </c>
      <c r="K166" s="280">
        <f t="shared" si="20"/>
        <v>0.828125</v>
      </c>
      <c r="L166" s="279">
        <f>J166-'[6]Marts'!J166</f>
        <v>7</v>
      </c>
      <c r="M166" s="265"/>
    </row>
    <row r="167" spans="1:13" ht="17.25" customHeight="1">
      <c r="A167" s="205" t="s">
        <v>304</v>
      </c>
      <c r="B167" s="277">
        <v>164444</v>
      </c>
      <c r="C167" s="284">
        <v>164444</v>
      </c>
      <c r="D167" s="277">
        <v>164444</v>
      </c>
      <c r="E167" s="278">
        <f t="shared" si="19"/>
        <v>1</v>
      </c>
      <c r="F167" s="282">
        <f>D167-'[6]Marts'!D167</f>
        <v>0</v>
      </c>
      <c r="G167" s="205" t="s">
        <v>304</v>
      </c>
      <c r="H167" s="279">
        <f t="shared" si="24"/>
        <v>164</v>
      </c>
      <c r="I167" s="279">
        <f t="shared" si="24"/>
        <v>164</v>
      </c>
      <c r="J167" s="279">
        <f>ROUND(D167/1000,0)</f>
        <v>164</v>
      </c>
      <c r="K167" s="280">
        <f t="shared" si="20"/>
        <v>1</v>
      </c>
      <c r="L167" s="279">
        <f>J167-'[6]Marts'!J167</f>
        <v>0</v>
      </c>
      <c r="M167" s="265"/>
    </row>
    <row r="168" spans="1:13" ht="31.5" customHeight="1">
      <c r="A168" s="26" t="s">
        <v>202</v>
      </c>
      <c r="B168" s="6"/>
      <c r="C168" s="284"/>
      <c r="D168" s="6"/>
      <c r="E168" s="278" t="str">
        <f t="shared" si="19"/>
        <v> </v>
      </c>
      <c r="F168" s="276"/>
      <c r="G168" s="26" t="s">
        <v>202</v>
      </c>
      <c r="H168" s="272"/>
      <c r="I168" s="272"/>
      <c r="J168" s="272"/>
      <c r="K168" s="280"/>
      <c r="L168" s="272"/>
      <c r="M168" s="265"/>
    </row>
    <row r="169" spans="1:13" ht="12.75">
      <c r="A169" s="213" t="s">
        <v>361</v>
      </c>
      <c r="B169" s="277"/>
      <c r="C169" s="284"/>
      <c r="D169" s="277"/>
      <c r="E169" s="278" t="str">
        <f t="shared" si="19"/>
        <v> </v>
      </c>
      <c r="F169" s="282"/>
      <c r="G169" s="213" t="s">
        <v>361</v>
      </c>
      <c r="H169" s="283"/>
      <c r="I169" s="283"/>
      <c r="J169" s="283"/>
      <c r="K169" s="280"/>
      <c r="L169" s="283"/>
      <c r="M169" s="265"/>
    </row>
    <row r="170" spans="1:13" ht="12.75">
      <c r="A170" s="205" t="s">
        <v>310</v>
      </c>
      <c r="B170" s="277">
        <f>SUM(B171:B173)</f>
        <v>2400000</v>
      </c>
      <c r="C170" s="284">
        <v>689000</v>
      </c>
      <c r="D170" s="284">
        <f>SUM(D171:D173)</f>
        <v>596332</v>
      </c>
      <c r="E170" s="278">
        <f>IF(ISERROR(D170/B170)," ",(D170/B170))</f>
        <v>0.24847166666666667</v>
      </c>
      <c r="F170" s="282">
        <f>SUM(F171:F173)</f>
        <v>172644</v>
      </c>
      <c r="G170" s="205" t="s">
        <v>310</v>
      </c>
      <c r="H170" s="283">
        <f>SUM(H171:H173)</f>
        <v>2400</v>
      </c>
      <c r="I170" s="283">
        <f>SUM(I171:I173)</f>
        <v>0</v>
      </c>
      <c r="J170" s="283">
        <f>SUM(J171:J173)</f>
        <v>597</v>
      </c>
      <c r="K170" s="280">
        <f t="shared" si="20"/>
        <v>0.24875</v>
      </c>
      <c r="L170" s="283">
        <f>SUM(L171:L173)</f>
        <v>173</v>
      </c>
      <c r="M170" s="265"/>
    </row>
    <row r="171" spans="1:13" ht="29.25" customHeight="1">
      <c r="A171" s="63" t="s">
        <v>362</v>
      </c>
      <c r="B171" s="277">
        <v>1578000</v>
      </c>
      <c r="C171" s="284"/>
      <c r="D171" s="277">
        <v>423685</v>
      </c>
      <c r="E171" s="278">
        <f t="shared" si="19"/>
        <v>0.2684949302915082</v>
      </c>
      <c r="F171" s="282">
        <f>D171-'[6]Marts'!D171</f>
        <v>121813</v>
      </c>
      <c r="G171" s="63" t="s">
        <v>362</v>
      </c>
      <c r="H171" s="279">
        <f aca="true" t="shared" si="25" ref="H171:J173">ROUND(B171/1000,0)</f>
        <v>1578</v>
      </c>
      <c r="I171" s="279">
        <f t="shared" si="25"/>
        <v>0</v>
      </c>
      <c r="J171" s="279">
        <f t="shared" si="25"/>
        <v>424</v>
      </c>
      <c r="K171" s="280">
        <f t="shared" si="20"/>
        <v>0.26869455006337134</v>
      </c>
      <c r="L171" s="279">
        <f>J171-'[6]Marts'!J171</f>
        <v>122</v>
      </c>
      <c r="M171" s="265"/>
    </row>
    <row r="172" spans="1:13" ht="27.75" customHeight="1">
      <c r="A172" s="63" t="s">
        <v>363</v>
      </c>
      <c r="B172" s="277">
        <v>618000</v>
      </c>
      <c r="C172" s="284"/>
      <c r="D172" s="277">
        <v>172647</v>
      </c>
      <c r="E172" s="278">
        <f>IF(ISERROR(D172/B172)," ",(D172/B172))</f>
        <v>0.2793640776699029</v>
      </c>
      <c r="F172" s="282">
        <f>D172-'[6]Marts'!D172</f>
        <v>50831</v>
      </c>
      <c r="G172" s="63" t="s">
        <v>363</v>
      </c>
      <c r="H172" s="279">
        <f t="shared" si="25"/>
        <v>618</v>
      </c>
      <c r="I172" s="279">
        <f t="shared" si="25"/>
        <v>0</v>
      </c>
      <c r="J172" s="279">
        <f t="shared" si="25"/>
        <v>173</v>
      </c>
      <c r="K172" s="280">
        <f>IF(ISERROR(ROUND(J172,0)/ROUND(H172,0))," ",(ROUND(J172,)/ROUND(H172,)))</f>
        <v>0.27993527508090615</v>
      </c>
      <c r="L172" s="279">
        <f>J172-'[6]Marts'!J172</f>
        <v>51</v>
      </c>
      <c r="M172" s="265"/>
    </row>
    <row r="173" spans="1:13" ht="12.75">
      <c r="A173" s="205" t="s">
        <v>343</v>
      </c>
      <c r="B173" s="277">
        <v>204000</v>
      </c>
      <c r="C173" s="284"/>
      <c r="D173" s="277">
        <v>0</v>
      </c>
      <c r="E173" s="278">
        <f t="shared" si="19"/>
        <v>0</v>
      </c>
      <c r="F173" s="282">
        <f>D173-'[6]Marts'!D173</f>
        <v>0</v>
      </c>
      <c r="G173" s="205" t="s">
        <v>343</v>
      </c>
      <c r="H173" s="279">
        <f t="shared" si="25"/>
        <v>204</v>
      </c>
      <c r="I173" s="279">
        <f t="shared" si="25"/>
        <v>0</v>
      </c>
      <c r="J173" s="277">
        <v>0</v>
      </c>
      <c r="K173" s="280">
        <f t="shared" si="20"/>
        <v>0</v>
      </c>
      <c r="L173" s="279">
        <f>J173-'[6]Marts'!J173</f>
        <v>0</v>
      </c>
      <c r="M173" s="265"/>
    </row>
    <row r="174" spans="1:13" ht="12.75">
      <c r="A174" s="205" t="s">
        <v>312</v>
      </c>
      <c r="B174" s="277">
        <f>B175</f>
        <v>2400000</v>
      </c>
      <c r="C174" s="284">
        <f>SUM(C175)</f>
        <v>689000</v>
      </c>
      <c r="D174" s="277">
        <f>D175</f>
        <v>689000</v>
      </c>
      <c r="E174" s="278">
        <f t="shared" si="19"/>
        <v>0.28708333333333336</v>
      </c>
      <c r="F174" s="282">
        <f>F175</f>
        <v>180000</v>
      </c>
      <c r="G174" s="205" t="s">
        <v>312</v>
      </c>
      <c r="H174" s="283">
        <f>H175</f>
        <v>2400</v>
      </c>
      <c r="I174" s="283">
        <f>I175</f>
        <v>689</v>
      </c>
      <c r="J174" s="283">
        <f>J175</f>
        <v>689</v>
      </c>
      <c r="K174" s="280">
        <f t="shared" si="20"/>
        <v>0.28708333333333336</v>
      </c>
      <c r="L174" s="283">
        <f>L175</f>
        <v>180</v>
      </c>
      <c r="M174" s="265"/>
    </row>
    <row r="175" spans="1:13" ht="12.75">
      <c r="A175" s="205" t="s">
        <v>313</v>
      </c>
      <c r="B175" s="277">
        <v>2400000</v>
      </c>
      <c r="C175" s="284">
        <v>689000</v>
      </c>
      <c r="D175" s="277">
        <v>689000</v>
      </c>
      <c r="E175" s="278">
        <f t="shared" si="19"/>
        <v>0.28708333333333336</v>
      </c>
      <c r="F175" s="282">
        <f>D175-'[6]Marts'!D175</f>
        <v>180000</v>
      </c>
      <c r="G175" s="205" t="s">
        <v>313</v>
      </c>
      <c r="H175" s="279">
        <f>ROUND(B175/1000,0)</f>
        <v>2400</v>
      </c>
      <c r="I175" s="279">
        <f>ROUND(C175/1000,0)</f>
        <v>689</v>
      </c>
      <c r="J175" s="279">
        <f>ROUND(D175/1000,0)</f>
        <v>689</v>
      </c>
      <c r="K175" s="280">
        <f t="shared" si="20"/>
        <v>0.28708333333333336</v>
      </c>
      <c r="L175" s="279">
        <f>J175-'[6]Marts'!J175</f>
        <v>180</v>
      </c>
      <c r="M175" s="265"/>
    </row>
    <row r="176" spans="1:13" ht="38.25">
      <c r="A176" s="71" t="s">
        <v>364</v>
      </c>
      <c r="B176" s="205"/>
      <c r="C176" s="300"/>
      <c r="D176" s="205"/>
      <c r="E176" s="278" t="str">
        <f t="shared" si="19"/>
        <v> </v>
      </c>
      <c r="F176" s="301"/>
      <c r="G176" s="71" t="s">
        <v>364</v>
      </c>
      <c r="H176" s="283"/>
      <c r="I176" s="283"/>
      <c r="J176" s="283"/>
      <c r="K176" s="280"/>
      <c r="L176" s="283"/>
      <c r="M176" s="265"/>
    </row>
    <row r="177" spans="1:13" ht="12.75">
      <c r="A177" s="205" t="s">
        <v>310</v>
      </c>
      <c r="B177" s="205">
        <f>B178</f>
        <v>144073</v>
      </c>
      <c r="C177" s="300">
        <v>48024</v>
      </c>
      <c r="D177" s="205">
        <f>D178</f>
        <v>19952</v>
      </c>
      <c r="E177" s="278">
        <f t="shared" si="19"/>
        <v>0.1384853511761399</v>
      </c>
      <c r="F177" s="301">
        <f>F178</f>
        <v>922</v>
      </c>
      <c r="G177" s="205" t="s">
        <v>310</v>
      </c>
      <c r="H177" s="283">
        <f>H178</f>
        <v>144</v>
      </c>
      <c r="I177" s="279">
        <f>ROUND(C177/1000,0)</f>
        <v>48</v>
      </c>
      <c r="J177" s="283">
        <f>J178</f>
        <v>20</v>
      </c>
      <c r="K177" s="280">
        <f t="shared" si="20"/>
        <v>0.1388888888888889</v>
      </c>
      <c r="L177" s="283">
        <f>L178</f>
        <v>1</v>
      </c>
      <c r="M177" s="265"/>
    </row>
    <row r="178" spans="1:13" ht="25.5">
      <c r="A178" s="63" t="s">
        <v>365</v>
      </c>
      <c r="B178" s="205">
        <v>144073</v>
      </c>
      <c r="C178" s="300"/>
      <c r="D178" s="205">
        <v>19952</v>
      </c>
      <c r="E178" s="278">
        <f t="shared" si="19"/>
        <v>0.1384853511761399</v>
      </c>
      <c r="F178" s="282">
        <f>D178-'[6]Marts'!D178</f>
        <v>922</v>
      </c>
      <c r="G178" s="63" t="s">
        <v>365</v>
      </c>
      <c r="H178" s="279">
        <f>ROUND(B178/1000,0)</f>
        <v>144</v>
      </c>
      <c r="I178" s="279">
        <f>ROUND(C178/1000,0)</f>
        <v>0</v>
      </c>
      <c r="J178" s="279">
        <f>ROUND(D178/1000,0)</f>
        <v>20</v>
      </c>
      <c r="K178" s="280">
        <f t="shared" si="20"/>
        <v>0.1388888888888889</v>
      </c>
      <c r="L178" s="279">
        <f>J178-'[6]Marts'!J178</f>
        <v>1</v>
      </c>
      <c r="M178" s="265"/>
    </row>
    <row r="179" spans="1:13" ht="12.75">
      <c r="A179" s="205" t="s">
        <v>312</v>
      </c>
      <c r="B179" s="277">
        <f>SUM(B180:B181)</f>
        <v>200829</v>
      </c>
      <c r="C179" s="284">
        <f>SUM(C180:C181)</f>
        <v>68708</v>
      </c>
      <c r="D179" s="277">
        <f>SUM(D180:D181)</f>
        <v>56339</v>
      </c>
      <c r="E179" s="278">
        <f t="shared" si="19"/>
        <v>0.2805321940556394</v>
      </c>
      <c r="F179" s="282">
        <f>SUM(F180:F181)</f>
        <v>8454</v>
      </c>
      <c r="G179" s="205" t="s">
        <v>312</v>
      </c>
      <c r="H179" s="283">
        <f>SUM(H180:H181)</f>
        <v>201</v>
      </c>
      <c r="I179" s="283">
        <f>SUM(I180:I181)</f>
        <v>69</v>
      </c>
      <c r="J179" s="283">
        <f>SUM(J180:J181)</f>
        <v>56</v>
      </c>
      <c r="K179" s="280">
        <f t="shared" si="20"/>
        <v>0.27860696517412936</v>
      </c>
      <c r="L179" s="283">
        <f>SUM(L180:L181)</f>
        <v>8</v>
      </c>
      <c r="M179" s="265"/>
    </row>
    <row r="180" spans="1:13" ht="12.75">
      <c r="A180" s="205" t="s">
        <v>313</v>
      </c>
      <c r="B180" s="277">
        <v>189219</v>
      </c>
      <c r="C180" s="284">
        <v>57952</v>
      </c>
      <c r="D180" s="277">
        <f>52865-5845</f>
        <v>47020</v>
      </c>
      <c r="E180" s="278">
        <f t="shared" si="19"/>
        <v>0.24849512998166146</v>
      </c>
      <c r="F180" s="282">
        <f>D180-'[6]Marts'!D180</f>
        <v>8149</v>
      </c>
      <c r="G180" s="205" t="s">
        <v>313</v>
      </c>
      <c r="H180" s="279">
        <f aca="true" t="shared" si="26" ref="H180:J183">ROUND(B180/1000,0)</f>
        <v>189</v>
      </c>
      <c r="I180" s="279">
        <f t="shared" si="26"/>
        <v>58</v>
      </c>
      <c r="J180" s="279">
        <f t="shared" si="26"/>
        <v>47</v>
      </c>
      <c r="K180" s="280">
        <f t="shared" si="20"/>
        <v>0.24867724867724866</v>
      </c>
      <c r="L180" s="279">
        <f>J180-'[6]Marts'!J180</f>
        <v>8</v>
      </c>
      <c r="M180" s="265"/>
    </row>
    <row r="181" spans="1:13" ht="12.75">
      <c r="A181" s="205" t="s">
        <v>304</v>
      </c>
      <c r="B181" s="277">
        <v>11610</v>
      </c>
      <c r="C181" s="284">
        <v>10756</v>
      </c>
      <c r="D181" s="277">
        <v>9319</v>
      </c>
      <c r="E181" s="278">
        <f t="shared" si="19"/>
        <v>0.8026701119724375</v>
      </c>
      <c r="F181" s="282">
        <f>D181-'[6]Marts'!D181</f>
        <v>305</v>
      </c>
      <c r="G181" s="205" t="s">
        <v>304</v>
      </c>
      <c r="H181" s="279">
        <f t="shared" si="26"/>
        <v>12</v>
      </c>
      <c r="I181" s="279">
        <f t="shared" si="26"/>
        <v>11</v>
      </c>
      <c r="J181" s="279">
        <f t="shared" si="26"/>
        <v>9</v>
      </c>
      <c r="K181" s="280">
        <f t="shared" si="20"/>
        <v>0.75</v>
      </c>
      <c r="L181" s="279">
        <f>J181-'[6]Marts'!J181</f>
        <v>0</v>
      </c>
      <c r="M181" s="265"/>
    </row>
    <row r="182" spans="1:13" ht="12.75">
      <c r="A182" s="205" t="s">
        <v>307</v>
      </c>
      <c r="B182" s="277">
        <f>SUM(B177-B179)</f>
        <v>-56756</v>
      </c>
      <c r="C182" s="284">
        <f>SUM(C177-C179)</f>
        <v>-20684</v>
      </c>
      <c r="D182" s="277">
        <f>SUM(D177-D179)</f>
        <v>-36387</v>
      </c>
      <c r="E182" s="278">
        <f t="shared" si="19"/>
        <v>0.6411128338854042</v>
      </c>
      <c r="F182" s="282">
        <f>D182-'[6]Marts'!D182</f>
        <v>-7532</v>
      </c>
      <c r="G182" s="205" t="s">
        <v>307</v>
      </c>
      <c r="H182" s="283">
        <f>SUM(H177-H179)</f>
        <v>-57</v>
      </c>
      <c r="I182" s="283">
        <f>SUM(I177-I179)</f>
        <v>-21</v>
      </c>
      <c r="J182" s="283">
        <f>SUM(J177-J179)</f>
        <v>-36</v>
      </c>
      <c r="K182" s="280">
        <f t="shared" si="20"/>
        <v>0.631578947368421</v>
      </c>
      <c r="L182" s="279">
        <f>J182-'[6]Marts'!J182</f>
        <v>-7</v>
      </c>
      <c r="M182" s="265"/>
    </row>
    <row r="183" spans="1:13" ht="12.75">
      <c r="A183" s="205" t="s">
        <v>308</v>
      </c>
      <c r="B183" s="277">
        <f>-B182</f>
        <v>56756</v>
      </c>
      <c r="C183" s="277">
        <f>17350+3334</f>
        <v>20684</v>
      </c>
      <c r="D183" s="277">
        <v>20684</v>
      </c>
      <c r="E183" s="278">
        <f t="shared" si="19"/>
        <v>0.3644372401155825</v>
      </c>
      <c r="F183" s="282">
        <f>D183-'[6]Marts'!D183</f>
        <v>3334</v>
      </c>
      <c r="G183" s="205" t="s">
        <v>308</v>
      </c>
      <c r="H183" s="283">
        <f>-H182</f>
        <v>57</v>
      </c>
      <c r="I183" s="279">
        <f>ROUND(C183/1000,0)</f>
        <v>21</v>
      </c>
      <c r="J183" s="279">
        <f t="shared" si="26"/>
        <v>21</v>
      </c>
      <c r="K183" s="280">
        <f t="shared" si="20"/>
        <v>0.3684210526315789</v>
      </c>
      <c r="L183" s="279">
        <f>J183-'[6]Marts'!J183</f>
        <v>4</v>
      </c>
      <c r="M183" s="265"/>
    </row>
    <row r="184" spans="1:13" ht="12.75">
      <c r="A184" s="302"/>
      <c r="B184" s="76"/>
      <c r="C184" s="76"/>
      <c r="D184" s="76"/>
      <c r="E184" s="76"/>
      <c r="F184" s="264"/>
      <c r="H184" s="76"/>
      <c r="I184" s="76"/>
      <c r="J184" s="76"/>
      <c r="K184" s="76"/>
      <c r="L184" s="76"/>
      <c r="M184" s="265"/>
    </row>
    <row r="185" spans="1:13" ht="12.75">
      <c r="A185" s="302"/>
      <c r="B185" s="76"/>
      <c r="C185" s="76"/>
      <c r="D185" s="76"/>
      <c r="E185" s="76"/>
      <c r="F185" s="264"/>
      <c r="H185" s="265"/>
      <c r="I185" s="76"/>
      <c r="J185" s="76"/>
      <c r="K185" s="76"/>
      <c r="L185" s="264"/>
      <c r="M185" s="265"/>
    </row>
    <row r="186" spans="1:13" ht="12.75">
      <c r="A186" s="76"/>
      <c r="B186" s="76"/>
      <c r="C186" s="76"/>
      <c r="D186" s="76"/>
      <c r="E186" s="76"/>
      <c r="F186" s="264"/>
      <c r="G186" s="76" t="s">
        <v>366</v>
      </c>
      <c r="H186" s="302"/>
      <c r="I186" s="76"/>
      <c r="J186" s="76"/>
      <c r="K186" s="76"/>
      <c r="L186" s="264"/>
      <c r="M186" s="265"/>
    </row>
    <row r="187" spans="1:13" ht="12.75">
      <c r="A187" s="264"/>
      <c r="B187" s="264"/>
      <c r="C187" s="264"/>
      <c r="D187" s="32"/>
      <c r="E187" s="32"/>
      <c r="F187" s="264"/>
      <c r="G187" s="265"/>
      <c r="H187" s="32"/>
      <c r="I187" s="32"/>
      <c r="J187" s="32"/>
      <c r="K187" s="32"/>
      <c r="L187" s="264"/>
      <c r="M187" s="265"/>
    </row>
    <row r="188" spans="1:13" ht="12.75">
      <c r="A188" s="264"/>
      <c r="B188" s="264"/>
      <c r="C188" s="264"/>
      <c r="D188" s="264"/>
      <c r="E188" s="264"/>
      <c r="F188" s="264"/>
      <c r="H188" s="264"/>
      <c r="I188" s="264"/>
      <c r="J188" s="264"/>
      <c r="K188" s="264"/>
      <c r="L188" s="264"/>
      <c r="M188" s="265"/>
    </row>
    <row r="189" spans="1:13" ht="12.75">
      <c r="A189" s="264"/>
      <c r="B189" s="264"/>
      <c r="C189" s="264"/>
      <c r="D189" s="264"/>
      <c r="E189" s="264"/>
      <c r="F189" s="264"/>
      <c r="H189" s="264"/>
      <c r="I189" s="264"/>
      <c r="J189" s="264"/>
      <c r="K189" s="264"/>
      <c r="L189" s="264"/>
      <c r="M189" s="265"/>
    </row>
    <row r="190" spans="1:13" ht="12.75">
      <c r="A190" s="264"/>
      <c r="B190" s="264"/>
      <c r="C190" s="264"/>
      <c r="D190" s="264"/>
      <c r="E190" s="264"/>
      <c r="F190" s="264"/>
      <c r="G190" s="264"/>
      <c r="H190" s="264"/>
      <c r="I190" s="264"/>
      <c r="J190" s="264"/>
      <c r="K190" s="264"/>
      <c r="L190" s="264"/>
      <c r="M190" s="265"/>
    </row>
    <row r="191" spans="1:13" ht="12.75">
      <c r="A191" s="264"/>
      <c r="B191" s="264"/>
      <c r="C191" s="264"/>
      <c r="D191" s="264"/>
      <c r="E191" s="264"/>
      <c r="F191" s="264"/>
      <c r="G191" s="264"/>
      <c r="H191" s="264"/>
      <c r="I191" s="264"/>
      <c r="J191" s="264"/>
      <c r="K191" s="264"/>
      <c r="L191" s="264"/>
      <c r="M191" s="265"/>
    </row>
    <row r="192" spans="1:13" ht="12.75">
      <c r="A192" s="264"/>
      <c r="B192" s="264"/>
      <c r="C192" s="264"/>
      <c r="D192" s="264"/>
      <c r="E192" s="264"/>
      <c r="F192" s="264"/>
      <c r="J192" s="264"/>
      <c r="K192" s="264"/>
      <c r="L192" s="264"/>
      <c r="M192" s="265"/>
    </row>
    <row r="193" spans="1:13" ht="12.75">
      <c r="A193" s="264"/>
      <c r="B193" s="264"/>
      <c r="C193" s="264"/>
      <c r="D193" s="264"/>
      <c r="E193" s="264"/>
      <c r="F193" s="264"/>
      <c r="H193" s="264"/>
      <c r="I193" s="264"/>
      <c r="J193" s="264"/>
      <c r="K193" s="264"/>
      <c r="L193" s="264"/>
      <c r="M193" s="265"/>
    </row>
    <row r="194" spans="1:13" ht="12.75">
      <c r="A194" s="264"/>
      <c r="B194" s="264"/>
      <c r="C194" s="264"/>
      <c r="D194" s="264"/>
      <c r="E194" s="264"/>
      <c r="F194" s="264"/>
      <c r="K194" s="264"/>
      <c r="L194" s="264"/>
      <c r="M194" s="265"/>
    </row>
    <row r="195" spans="1:13" ht="12.75">
      <c r="A195" s="264"/>
      <c r="B195" s="264"/>
      <c r="C195" s="264"/>
      <c r="D195" s="264"/>
      <c r="E195" s="264"/>
      <c r="F195" s="264"/>
      <c r="G195" s="264"/>
      <c r="H195" s="264"/>
      <c r="I195" s="264"/>
      <c r="J195" s="264"/>
      <c r="K195" s="264"/>
      <c r="L195" s="264"/>
      <c r="M195" s="265"/>
    </row>
    <row r="196" spans="1:13" ht="12.75">
      <c r="A196" s="264"/>
      <c r="B196" s="264"/>
      <c r="C196" s="264"/>
      <c r="D196" s="264"/>
      <c r="E196" s="264"/>
      <c r="F196" s="264"/>
      <c r="G196" s="37" t="s">
        <v>367</v>
      </c>
      <c r="H196" s="264"/>
      <c r="I196" s="264"/>
      <c r="J196" s="264"/>
      <c r="K196" s="264"/>
      <c r="L196" s="264"/>
      <c r="M196" s="265"/>
    </row>
    <row r="197" spans="1:13" ht="12.75">
      <c r="A197" s="264"/>
      <c r="B197" s="264"/>
      <c r="C197" s="264"/>
      <c r="D197" s="264"/>
      <c r="E197" s="264"/>
      <c r="F197" s="264"/>
      <c r="H197" s="265"/>
      <c r="I197" s="265"/>
      <c r="J197" s="264"/>
      <c r="K197" s="265"/>
      <c r="L197" s="265"/>
      <c r="M197" s="265"/>
    </row>
    <row r="198" spans="1:13" ht="12.75">
      <c r="A198" s="264"/>
      <c r="B198" s="264"/>
      <c r="C198" s="264"/>
      <c r="D198" s="264"/>
      <c r="E198" s="264"/>
      <c r="F198" s="264"/>
      <c r="H198" s="265"/>
      <c r="I198" s="265"/>
      <c r="J198" s="265"/>
      <c r="K198" s="265"/>
      <c r="L198" s="265"/>
      <c r="M198" s="265"/>
    </row>
    <row r="199" spans="1:13" ht="12.75">
      <c r="A199" s="37" t="s">
        <v>367</v>
      </c>
      <c r="B199" s="32"/>
      <c r="C199" s="32"/>
      <c r="D199" s="264"/>
      <c r="E199" s="264"/>
      <c r="F199" s="264"/>
      <c r="G199" s="265"/>
      <c r="H199" s="265"/>
      <c r="I199" s="265"/>
      <c r="J199" s="265"/>
      <c r="K199" s="265"/>
      <c r="L199" s="265"/>
      <c r="M199" s="265"/>
    </row>
    <row r="200" spans="1:13" ht="12.75">
      <c r="A200" s="264"/>
      <c r="B200" s="264"/>
      <c r="C200" s="264"/>
      <c r="D200" s="264"/>
      <c r="E200" s="264"/>
      <c r="F200" s="264"/>
      <c r="H200" s="265"/>
      <c r="I200" s="265"/>
      <c r="J200" s="265"/>
      <c r="K200" s="265"/>
      <c r="L200" s="265"/>
      <c r="M200" s="265"/>
    </row>
    <row r="201" spans="1:13" ht="12.75">
      <c r="A201" s="264"/>
      <c r="B201" s="264"/>
      <c r="C201" s="264"/>
      <c r="D201" s="264"/>
      <c r="E201" s="264"/>
      <c r="F201" s="264"/>
      <c r="H201" s="265"/>
      <c r="I201" s="265"/>
      <c r="J201" s="265"/>
      <c r="K201" s="265"/>
      <c r="L201" s="265"/>
      <c r="M201" s="265"/>
    </row>
    <row r="202" spans="1:13" ht="12.75">
      <c r="A202" s="264"/>
      <c r="B202" s="264"/>
      <c r="C202" s="264"/>
      <c r="D202" s="264"/>
      <c r="E202" s="264"/>
      <c r="F202" s="264"/>
      <c r="H202" s="265"/>
      <c r="I202" s="265"/>
      <c r="J202" s="265"/>
      <c r="K202" s="265"/>
      <c r="L202" s="265"/>
      <c r="M202" s="265"/>
    </row>
    <row r="203" spans="1:13" ht="12.75">
      <c r="A203" s="264"/>
      <c r="B203" s="264"/>
      <c r="C203" s="264"/>
      <c r="D203" s="264"/>
      <c r="E203" s="264"/>
      <c r="F203" s="264"/>
      <c r="H203" s="265"/>
      <c r="I203" s="265"/>
      <c r="J203" s="265"/>
      <c r="K203" s="265"/>
      <c r="L203" s="265"/>
      <c r="M203" s="265"/>
    </row>
    <row r="204" spans="1:13" ht="12.75">
      <c r="A204" s="264"/>
      <c r="B204" s="264"/>
      <c r="C204" s="264"/>
      <c r="D204" s="264"/>
      <c r="E204" s="264"/>
      <c r="F204" s="264"/>
      <c r="H204" s="265"/>
      <c r="I204" s="265"/>
      <c r="J204" s="265"/>
      <c r="K204" s="265"/>
      <c r="L204" s="265"/>
      <c r="M204" s="265"/>
    </row>
    <row r="205" spans="1:13" ht="12.75">
      <c r="A205" s="264"/>
      <c r="B205" s="264"/>
      <c r="C205" s="264"/>
      <c r="D205" s="264"/>
      <c r="E205" s="264"/>
      <c r="F205" s="264"/>
      <c r="H205" s="265"/>
      <c r="I205" s="265"/>
      <c r="J205" s="265"/>
      <c r="K205" s="265"/>
      <c r="L205" s="265"/>
      <c r="M205" s="265"/>
    </row>
    <row r="206" spans="1:13" ht="12.75">
      <c r="A206" s="264"/>
      <c r="B206" s="264"/>
      <c r="C206" s="264"/>
      <c r="D206" s="264"/>
      <c r="E206" s="264"/>
      <c r="F206" s="264"/>
      <c r="H206" s="265"/>
      <c r="I206" s="265"/>
      <c r="J206" s="265"/>
      <c r="K206" s="265"/>
      <c r="L206" s="265"/>
      <c r="M206" s="265"/>
    </row>
    <row r="207" spans="1:13" ht="12.75">
      <c r="A207" s="264"/>
      <c r="B207" s="264"/>
      <c r="C207" s="264"/>
      <c r="D207" s="264"/>
      <c r="E207" s="264"/>
      <c r="F207" s="264"/>
      <c r="G207" s="265"/>
      <c r="H207" s="265"/>
      <c r="I207" s="265"/>
      <c r="J207" s="265"/>
      <c r="K207" s="265"/>
      <c r="L207" s="265"/>
      <c r="M207" s="265"/>
    </row>
    <row r="208" spans="1:13" ht="12.75">
      <c r="A208" s="264"/>
      <c r="B208" s="264"/>
      <c r="C208" s="264"/>
      <c r="D208" s="264"/>
      <c r="E208" s="264"/>
      <c r="F208" s="264"/>
      <c r="G208" s="265"/>
      <c r="H208" s="265"/>
      <c r="I208" s="265"/>
      <c r="J208" s="265"/>
      <c r="K208" s="265"/>
      <c r="L208" s="265"/>
      <c r="M208" s="265"/>
    </row>
    <row r="209" spans="1:13" ht="12.75">
      <c r="A209" s="264"/>
      <c r="B209" s="264"/>
      <c r="C209" s="264"/>
      <c r="D209" s="264"/>
      <c r="E209" s="264"/>
      <c r="F209" s="264"/>
      <c r="G209" s="265"/>
      <c r="H209" s="265"/>
      <c r="I209" s="265"/>
      <c r="J209" s="265"/>
      <c r="K209" s="265"/>
      <c r="L209" s="265"/>
      <c r="M209" s="265"/>
    </row>
    <row r="210" spans="1:13" ht="12.75">
      <c r="A210" s="264"/>
      <c r="B210" s="264"/>
      <c r="C210" s="264"/>
      <c r="D210" s="264"/>
      <c r="E210" s="264"/>
      <c r="F210" s="264"/>
      <c r="G210" s="265"/>
      <c r="H210" s="265"/>
      <c r="I210" s="265"/>
      <c r="J210" s="265"/>
      <c r="K210" s="265"/>
      <c r="L210" s="265"/>
      <c r="M210" s="265"/>
    </row>
    <row r="211" spans="1:13" ht="12.75">
      <c r="A211" s="264"/>
      <c r="B211" s="264"/>
      <c r="C211" s="264"/>
      <c r="D211" s="264"/>
      <c r="E211" s="264"/>
      <c r="F211" s="264"/>
      <c r="G211" s="264" t="s">
        <v>120</v>
      </c>
      <c r="H211" s="265"/>
      <c r="I211" s="265"/>
      <c r="J211" s="265"/>
      <c r="K211" s="265"/>
      <c r="L211" s="265"/>
      <c r="M211" s="265"/>
    </row>
    <row r="212" spans="1:13" ht="12.75">
      <c r="A212" s="264"/>
      <c r="B212" s="264"/>
      <c r="C212" s="264"/>
      <c r="D212" s="264"/>
      <c r="E212" s="264"/>
      <c r="F212" s="264"/>
      <c r="G212" s="264" t="s">
        <v>43</v>
      </c>
      <c r="H212" s="265"/>
      <c r="I212" s="265"/>
      <c r="J212" s="265"/>
      <c r="K212" s="265"/>
      <c r="L212" s="265"/>
      <c r="M212" s="265"/>
    </row>
  </sheetData>
  <mergeCells count="5">
    <mergeCell ref="G2:L2"/>
    <mergeCell ref="A4:F4"/>
    <mergeCell ref="G4:L4"/>
    <mergeCell ref="A5:F5"/>
    <mergeCell ref="G5:L5"/>
  </mergeCells>
  <printOptions/>
  <pageMargins left="0.75" right="0.19" top="0.64" bottom="0.59" header="0.19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17"/>
  <sheetViews>
    <sheetView workbookViewId="0" topLeftCell="H1">
      <selection activeCell="A7" sqref="A7"/>
    </sheetView>
  </sheetViews>
  <sheetFormatPr defaultColWidth="9.140625" defaultRowHeight="12.75"/>
  <cols>
    <col min="1" max="1" width="41.28125" style="268" hidden="1" customWidth="1"/>
    <col min="2" max="2" width="13.00390625" style="268" hidden="1" customWidth="1"/>
    <col min="3" max="3" width="12.7109375" style="268" hidden="1" customWidth="1"/>
    <col min="4" max="4" width="12.8515625" style="268" hidden="1" customWidth="1"/>
    <col min="5" max="5" width="10.7109375" style="268" hidden="1" customWidth="1"/>
    <col min="6" max="6" width="11.8515625" style="268" hidden="1" customWidth="1"/>
    <col min="7" max="7" width="12.7109375" style="268" hidden="1" customWidth="1"/>
    <col min="8" max="8" width="35.28125" style="268" customWidth="1"/>
    <col min="9" max="9" width="11.421875" style="268" customWidth="1"/>
    <col min="10" max="10" width="12.00390625" style="268" customWidth="1"/>
    <col min="11" max="12" width="10.57421875" style="268" customWidth="1"/>
    <col min="13" max="13" width="11.8515625" style="268" customWidth="1"/>
    <col min="14" max="14" width="10.421875" style="268" customWidth="1"/>
    <col min="15" max="16384" width="9.140625" style="268" customWidth="1"/>
  </cols>
  <sheetData>
    <row r="1" spans="1:14" ht="21" customHeight="1">
      <c r="A1" s="303" t="s">
        <v>123</v>
      </c>
      <c r="B1" s="303"/>
      <c r="C1" s="303"/>
      <c r="D1" s="303"/>
      <c r="E1" s="303"/>
      <c r="F1" s="303"/>
      <c r="G1" s="268" t="s">
        <v>368</v>
      </c>
      <c r="H1" s="303" t="s">
        <v>369</v>
      </c>
      <c r="I1" s="303"/>
      <c r="J1" s="303"/>
      <c r="K1" s="303"/>
      <c r="L1" s="303"/>
      <c r="M1" s="303"/>
      <c r="N1" s="304" t="s">
        <v>368</v>
      </c>
    </row>
    <row r="2" ht="0.75" customHeight="1" hidden="1"/>
    <row r="3" ht="20.25" customHeight="1"/>
    <row r="4" spans="1:14" ht="18.75" customHeight="1">
      <c r="A4" s="305"/>
      <c r="B4" s="305" t="s">
        <v>370</v>
      </c>
      <c r="C4" s="305"/>
      <c r="D4" s="305"/>
      <c r="E4" s="305"/>
      <c r="F4" s="305"/>
      <c r="G4" s="305"/>
      <c r="H4" s="266"/>
      <c r="I4" s="266"/>
      <c r="J4" s="266" t="s">
        <v>371</v>
      </c>
      <c r="K4" s="266"/>
      <c r="L4" s="266"/>
      <c r="M4" s="46"/>
      <c r="N4" s="305"/>
    </row>
    <row r="5" spans="1:14" ht="20.25" customHeight="1">
      <c r="A5" s="305"/>
      <c r="B5" s="305" t="s">
        <v>226</v>
      </c>
      <c r="C5" s="305"/>
      <c r="D5" s="305"/>
      <c r="E5" s="305"/>
      <c r="F5" s="305"/>
      <c r="G5" s="305"/>
      <c r="H5" s="266"/>
      <c r="I5" s="266"/>
      <c r="J5" s="266" t="s">
        <v>226</v>
      </c>
      <c r="K5" s="266"/>
      <c r="L5" s="266"/>
      <c r="M5" s="46"/>
      <c r="N5" s="305"/>
    </row>
    <row r="6" spans="1:14" ht="18" customHeight="1">
      <c r="A6" s="266"/>
      <c r="B6" s="46" t="s">
        <v>228</v>
      </c>
      <c r="C6" s="305"/>
      <c r="D6" s="305"/>
      <c r="E6" s="305"/>
      <c r="F6" s="305"/>
      <c r="G6" s="305"/>
      <c r="H6" s="266"/>
      <c r="I6" s="266"/>
      <c r="J6" s="266" t="s">
        <v>228</v>
      </c>
      <c r="K6" s="266"/>
      <c r="L6" s="266"/>
      <c r="M6" s="46"/>
      <c r="N6" s="305"/>
    </row>
    <row r="7" ht="36" customHeight="1">
      <c r="N7" s="304" t="s">
        <v>48</v>
      </c>
    </row>
    <row r="8" spans="1:14" s="2" customFormat="1" ht="95.25" customHeight="1">
      <c r="A8" s="87" t="s">
        <v>2</v>
      </c>
      <c r="B8" s="87" t="s">
        <v>49</v>
      </c>
      <c r="C8" s="87" t="s">
        <v>229</v>
      </c>
      <c r="D8" s="87" t="s">
        <v>50</v>
      </c>
      <c r="E8" s="87" t="s">
        <v>230</v>
      </c>
      <c r="F8" s="87" t="s">
        <v>372</v>
      </c>
      <c r="G8" s="87" t="s">
        <v>234</v>
      </c>
      <c r="H8" s="87" t="s">
        <v>2</v>
      </c>
      <c r="I8" s="87" t="s">
        <v>49</v>
      </c>
      <c r="J8" s="87" t="s">
        <v>229</v>
      </c>
      <c r="K8" s="87" t="s">
        <v>50</v>
      </c>
      <c r="L8" s="87" t="s">
        <v>230</v>
      </c>
      <c r="M8" s="87" t="s">
        <v>373</v>
      </c>
      <c r="N8" s="87" t="s">
        <v>234</v>
      </c>
    </row>
    <row r="9" spans="1:14" ht="14.25">
      <c r="A9" s="306">
        <v>1</v>
      </c>
      <c r="B9" s="306">
        <v>2</v>
      </c>
      <c r="C9" s="306">
        <v>3</v>
      </c>
      <c r="D9" s="306">
        <v>4</v>
      </c>
      <c r="E9" s="306">
        <v>5</v>
      </c>
      <c r="F9" s="306">
        <v>6</v>
      </c>
      <c r="G9" s="307">
        <v>7</v>
      </c>
      <c r="H9" s="306">
        <v>1</v>
      </c>
      <c r="I9" s="306">
        <v>2</v>
      </c>
      <c r="J9" s="306">
        <v>3</v>
      </c>
      <c r="K9" s="306">
        <v>4</v>
      </c>
      <c r="L9" s="306">
        <v>5</v>
      </c>
      <c r="M9" s="306">
        <v>6</v>
      </c>
      <c r="N9" s="306">
        <v>7</v>
      </c>
    </row>
    <row r="10" spans="1:14" ht="18.75" customHeight="1">
      <c r="A10" s="308" t="s">
        <v>374</v>
      </c>
      <c r="B10" s="309">
        <f>SUM(B11:B12:B13)</f>
        <v>699762222</v>
      </c>
      <c r="C10" s="309">
        <f>SUM(C11:C13)</f>
        <v>222996517</v>
      </c>
      <c r="D10" s="309">
        <f>SUM(D11:D13)</f>
        <v>215050212</v>
      </c>
      <c r="E10" s="310">
        <f>IF(ISERROR(D10/B10)," ",(D10/B10))</f>
        <v>0.3073189795604599</v>
      </c>
      <c r="F10" s="310">
        <f>IF(ISERROR(D10/C10)," ",(D10/C10))</f>
        <v>0.9643657887266464</v>
      </c>
      <c r="G10" s="311">
        <f>SUM(G11:G13)</f>
        <v>55149093</v>
      </c>
      <c r="H10" s="308" t="s">
        <v>374</v>
      </c>
      <c r="I10" s="312">
        <f>SUM(I11:I12:I13)</f>
        <v>699762</v>
      </c>
      <c r="J10" s="312">
        <f>SUM(J11:J13)</f>
        <v>222997</v>
      </c>
      <c r="K10" s="312">
        <f>SUM(K11:K13)</f>
        <v>215050</v>
      </c>
      <c r="L10" s="310">
        <f>IF(ISERROR(ROUND(K10,0)/ROUND(I10,0))," ",(ROUND(K10,)/ROUND(I10,)))</f>
        <v>0.3073187740974789</v>
      </c>
      <c r="M10" s="310">
        <f>IF(ISERROR(ROUND(K10,0)/ROUND(J10,0))," ",(ROUND(K10,)/ROUND(J10,)))</f>
        <v>0.9643627492746539</v>
      </c>
      <c r="N10" s="312">
        <f>SUM(N11:N13)</f>
        <v>55149</v>
      </c>
    </row>
    <row r="11" spans="1:14" ht="26.25" customHeight="1">
      <c r="A11" s="313" t="s">
        <v>375</v>
      </c>
      <c r="B11" s="314">
        <v>692166497</v>
      </c>
      <c r="C11" s="315">
        <f>69669859+150694393</f>
        <v>220364252</v>
      </c>
      <c r="D11" s="314">
        <v>213786623</v>
      </c>
      <c r="E11" s="316">
        <f aca="true" t="shared" si="0" ref="E11:E17">IF(ISERROR(D11/B11)," ",(D11/B11))</f>
        <v>0.30886589271020437</v>
      </c>
      <c r="F11" s="316">
        <f aca="true" t="shared" si="1" ref="F11:F17">IF(ISERROR(D11/C11)," ",(D11/C11))</f>
        <v>0.9701511069045808</v>
      </c>
      <c r="G11" s="317">
        <f>D11-'[7]Marts'!D11</f>
        <v>54533724</v>
      </c>
      <c r="H11" s="313" t="s">
        <v>375</v>
      </c>
      <c r="I11" s="318">
        <f>ROUND(B11/1000,0)</f>
        <v>692166</v>
      </c>
      <c r="J11" s="318">
        <f>ROUND(C11/1000,0)</f>
        <v>220364</v>
      </c>
      <c r="K11" s="318">
        <f>ROUND(D11/1000,0)</f>
        <v>213787</v>
      </c>
      <c r="L11" s="316">
        <f aca="true" t="shared" si="2" ref="L11:L17">IF(ISERROR(ROUND(K11,0)/ROUND(I11,0))," ",(ROUND(K11,)/ROUND(I11,)))</f>
        <v>0.30886665915401795</v>
      </c>
      <c r="M11" s="316">
        <f aca="true" t="shared" si="3" ref="M11:M17">IF(ISERROR(ROUND(K11,0)/ROUND(J11,0))," ",(ROUND(K11,)/ROUND(J11,)))</f>
        <v>0.970153927138734</v>
      </c>
      <c r="N11" s="319">
        <f>K11-'[7]Marts'!K11</f>
        <v>54534</v>
      </c>
    </row>
    <row r="12" spans="1:14" ht="27.75" customHeight="1">
      <c r="A12" s="313" t="s">
        <v>376</v>
      </c>
      <c r="B12" s="314">
        <v>4224473</v>
      </c>
      <c r="C12" s="315">
        <v>2151665</v>
      </c>
      <c r="D12" s="314">
        <v>1073532</v>
      </c>
      <c r="E12" s="316">
        <f t="shared" si="0"/>
        <v>0.2541221117995073</v>
      </c>
      <c r="F12" s="316">
        <f t="shared" si="1"/>
        <v>0.4989308279866987</v>
      </c>
      <c r="G12" s="317">
        <f>D12-'[7]Marts'!D12</f>
        <v>580073</v>
      </c>
      <c r="H12" s="313" t="s">
        <v>376</v>
      </c>
      <c r="I12" s="318">
        <f>ROUND(B12/1000,0)+1</f>
        <v>4225</v>
      </c>
      <c r="J12" s="318">
        <f>ROUND(C12/1000,0)</f>
        <v>2152</v>
      </c>
      <c r="K12" s="318">
        <f>ROUND(D12/1000,0)-1</f>
        <v>1073</v>
      </c>
      <c r="L12" s="316">
        <f t="shared" si="2"/>
        <v>0.2539644970414201</v>
      </c>
      <c r="M12" s="316">
        <f t="shared" si="3"/>
        <v>0.4986059479553903</v>
      </c>
      <c r="N12" s="319">
        <f>K12-'[7]Marts'!K12</f>
        <v>580</v>
      </c>
    </row>
    <row r="13" spans="1:14" ht="15.75" customHeight="1">
      <c r="A13" s="313" t="s">
        <v>377</v>
      </c>
      <c r="B13" s="314">
        <v>3371252</v>
      </c>
      <c r="C13" s="315">
        <v>480600</v>
      </c>
      <c r="D13" s="315">
        <v>190057</v>
      </c>
      <c r="E13" s="316">
        <f t="shared" si="0"/>
        <v>0.05637579154569282</v>
      </c>
      <c r="F13" s="316">
        <f t="shared" si="1"/>
        <v>0.39545776113191844</v>
      </c>
      <c r="G13" s="317">
        <f>D13-'[7]Marts'!D13</f>
        <v>35296</v>
      </c>
      <c r="H13" s="313" t="s">
        <v>377</v>
      </c>
      <c r="I13" s="318">
        <f>ROUND(B13/1000,0)</f>
        <v>3371</v>
      </c>
      <c r="J13" s="318">
        <f>ROUND(C13/1000,0)</f>
        <v>481</v>
      </c>
      <c r="K13" s="318">
        <f>ROUND(D13/1000,0)</f>
        <v>190</v>
      </c>
      <c r="L13" s="316">
        <f t="shared" si="2"/>
        <v>0.05636309700385642</v>
      </c>
      <c r="M13" s="316">
        <f t="shared" si="3"/>
        <v>0.39501039501039503</v>
      </c>
      <c r="N13" s="319">
        <f>K13-'[7]Marts'!K13</f>
        <v>35</v>
      </c>
    </row>
    <row r="14" spans="1:14" ht="21.75" customHeight="1">
      <c r="A14" s="308" t="s">
        <v>242</v>
      </c>
      <c r="B14" s="320">
        <f>SUM(B15,B36)</f>
        <v>743446778</v>
      </c>
      <c r="C14" s="320">
        <f>SUM(C15,C36)</f>
        <v>260491805</v>
      </c>
      <c r="D14" s="320">
        <f>SUM(D15,D36)</f>
        <v>235702665</v>
      </c>
      <c r="E14" s="310">
        <f t="shared" si="0"/>
        <v>0.31704040151210394</v>
      </c>
      <c r="F14" s="310">
        <f t="shared" si="1"/>
        <v>0.9048371598484644</v>
      </c>
      <c r="G14" s="321">
        <f>SUM(G15,G36)</f>
        <v>58007672</v>
      </c>
      <c r="H14" s="308" t="s">
        <v>242</v>
      </c>
      <c r="I14" s="322">
        <f>SUM(I15,I36)</f>
        <v>743447</v>
      </c>
      <c r="J14" s="322">
        <f>SUM(J15,J36)</f>
        <v>260492</v>
      </c>
      <c r="K14" s="322">
        <f>SUM(K15,K36)</f>
        <v>235703</v>
      </c>
      <c r="L14" s="310">
        <f t="shared" si="2"/>
        <v>0.3170407574447136</v>
      </c>
      <c r="M14" s="310">
        <f t="shared" si="3"/>
        <v>0.9048377685303195</v>
      </c>
      <c r="N14" s="322">
        <f>SUM(N15,N36)</f>
        <v>58010</v>
      </c>
    </row>
    <row r="15" spans="1:14" ht="20.25" customHeight="1">
      <c r="A15" s="323" t="s">
        <v>378</v>
      </c>
      <c r="B15" s="324">
        <f>SUM(B16,B21,B24)</f>
        <v>706050840</v>
      </c>
      <c r="C15" s="324">
        <f>SUM(C16,C21,C24)</f>
        <v>247518783</v>
      </c>
      <c r="D15" s="324">
        <f>SUM(D16,D21,D24)</f>
        <v>227901945</v>
      </c>
      <c r="E15" s="310">
        <f t="shared" si="0"/>
        <v>0.3227840434266745</v>
      </c>
      <c r="F15" s="310">
        <f t="shared" si="1"/>
        <v>0.920746063138166</v>
      </c>
      <c r="G15" s="325">
        <f>SUM(G16,G21,G24)</f>
        <v>56485796</v>
      </c>
      <c r="H15" s="323" t="s">
        <v>378</v>
      </c>
      <c r="I15" s="326">
        <f>SUM(I16,I21,I24)+1</f>
        <v>706051</v>
      </c>
      <c r="J15" s="326">
        <f>SUM(J16,J21,J24)</f>
        <v>247519</v>
      </c>
      <c r="K15" s="326">
        <f>SUM(K16,K21,K24)</f>
        <v>227902</v>
      </c>
      <c r="L15" s="310">
        <f t="shared" si="2"/>
        <v>0.32278404817782286</v>
      </c>
      <c r="M15" s="310">
        <f t="shared" si="3"/>
        <v>0.9207454781249116</v>
      </c>
      <c r="N15" s="326">
        <f>SUM(N16,N21,N24)</f>
        <v>56487</v>
      </c>
    </row>
    <row r="16" spans="1:14" ht="18.75" customHeight="1">
      <c r="A16" s="323" t="s">
        <v>244</v>
      </c>
      <c r="B16" s="324">
        <v>29000156</v>
      </c>
      <c r="C16" s="324">
        <f>12701703</f>
        <v>12701703</v>
      </c>
      <c r="D16" s="324">
        <f>SUM(D17,D18,D19,D20)</f>
        <v>8969784</v>
      </c>
      <c r="E16" s="310">
        <f t="shared" si="0"/>
        <v>0.3093012327244033</v>
      </c>
      <c r="F16" s="310">
        <f t="shared" si="1"/>
        <v>0.7061875088718418</v>
      </c>
      <c r="G16" s="325">
        <f>SUM(G17,G18,G19,G20)</f>
        <v>1514461</v>
      </c>
      <c r="H16" s="323" t="s">
        <v>244</v>
      </c>
      <c r="I16" s="312">
        <f>ROUND(B16/1000,0)</f>
        <v>29000</v>
      </c>
      <c r="J16" s="312">
        <f>ROUND(C16/1000,0)</f>
        <v>12702</v>
      </c>
      <c r="K16" s="322">
        <f>SUM(K17,K18,K19,K20)</f>
        <v>8971</v>
      </c>
      <c r="L16" s="310">
        <f t="shared" si="2"/>
        <v>0.3093448275862069</v>
      </c>
      <c r="M16" s="310">
        <f t="shared" si="3"/>
        <v>0.7062667296488742</v>
      </c>
      <c r="N16" s="326">
        <f>SUM(N17,N18,N19,N20)</f>
        <v>1516</v>
      </c>
    </row>
    <row r="17" spans="1:14" ht="14.25">
      <c r="A17" s="327" t="s">
        <v>245</v>
      </c>
      <c r="B17" s="328">
        <v>1540940</v>
      </c>
      <c r="C17" s="328">
        <f>557132</f>
        <v>557132</v>
      </c>
      <c r="D17" s="328">
        <v>375893</v>
      </c>
      <c r="E17" s="316">
        <f t="shared" si="0"/>
        <v>0.24393746674108013</v>
      </c>
      <c r="F17" s="316">
        <f t="shared" si="1"/>
        <v>0.674692891451218</v>
      </c>
      <c r="G17" s="329">
        <f>D17-'[7]Marts'!D17</f>
        <v>107436</v>
      </c>
      <c r="H17" s="327" t="s">
        <v>245</v>
      </c>
      <c r="I17" s="319">
        <f>ROUND(B17/1000,0)</f>
        <v>1541</v>
      </c>
      <c r="J17" s="319">
        <f>ROUND(C17/1000,0)</f>
        <v>557</v>
      </c>
      <c r="K17" s="318">
        <f>ROUND(D17/1000,0)</f>
        <v>376</v>
      </c>
      <c r="L17" s="316">
        <f t="shared" si="2"/>
        <v>0.24399740428293315</v>
      </c>
      <c r="M17" s="316">
        <f t="shared" si="3"/>
        <v>0.6750448833034112</v>
      </c>
      <c r="N17" s="319">
        <f>K17-'[7]Marts'!K17</f>
        <v>108</v>
      </c>
    </row>
    <row r="18" spans="1:14" ht="28.5">
      <c r="A18" s="313" t="s">
        <v>246</v>
      </c>
      <c r="B18" s="330" t="s">
        <v>9</v>
      </c>
      <c r="C18" s="330" t="s">
        <v>9</v>
      </c>
      <c r="D18" s="328">
        <v>122371</v>
      </c>
      <c r="E18" s="331" t="s">
        <v>9</v>
      </c>
      <c r="F18" s="330" t="s">
        <v>9</v>
      </c>
      <c r="G18" s="329">
        <f>D18-'[7]Marts'!D18</f>
        <v>36675</v>
      </c>
      <c r="H18" s="313" t="s">
        <v>246</v>
      </c>
      <c r="I18" s="332" t="s">
        <v>9</v>
      </c>
      <c r="J18" s="332" t="s">
        <v>9</v>
      </c>
      <c r="K18" s="318">
        <f>ROUND(D18/1000,0)</f>
        <v>122</v>
      </c>
      <c r="L18" s="331" t="s">
        <v>9</v>
      </c>
      <c r="M18" s="330" t="s">
        <v>9</v>
      </c>
      <c r="N18" s="319">
        <f>K18-'[7]Marts'!K18</f>
        <v>36</v>
      </c>
    </row>
    <row r="19" spans="1:14" ht="14.25">
      <c r="A19" s="313" t="s">
        <v>247</v>
      </c>
      <c r="B19" s="330" t="s">
        <v>9</v>
      </c>
      <c r="C19" s="330" t="s">
        <v>9</v>
      </c>
      <c r="D19" s="328">
        <v>6917038</v>
      </c>
      <c r="E19" s="331" t="s">
        <v>9</v>
      </c>
      <c r="F19" s="330" t="s">
        <v>9</v>
      </c>
      <c r="G19" s="329">
        <f>D19-'[7]Marts'!D19</f>
        <v>740566</v>
      </c>
      <c r="H19" s="313" t="s">
        <v>247</v>
      </c>
      <c r="I19" s="332" t="s">
        <v>9</v>
      </c>
      <c r="J19" s="332" t="s">
        <v>9</v>
      </c>
      <c r="K19" s="318">
        <f>ROUND(D19/1000,0)+2</f>
        <v>6919</v>
      </c>
      <c r="L19" s="331" t="s">
        <v>9</v>
      </c>
      <c r="M19" s="330" t="s">
        <v>9</v>
      </c>
      <c r="N19" s="319">
        <f>K19-'[7]Marts'!K19</f>
        <v>743</v>
      </c>
    </row>
    <row r="20" spans="1:14" ht="14.25">
      <c r="A20" s="313" t="s">
        <v>379</v>
      </c>
      <c r="B20" s="330" t="s">
        <v>9</v>
      </c>
      <c r="C20" s="330" t="s">
        <v>9</v>
      </c>
      <c r="D20" s="328">
        <v>1554482</v>
      </c>
      <c r="E20" s="331" t="s">
        <v>9</v>
      </c>
      <c r="F20" s="330" t="s">
        <v>9</v>
      </c>
      <c r="G20" s="329">
        <f>D20-'[7]Marts'!D20</f>
        <v>629784</v>
      </c>
      <c r="H20" s="313" t="s">
        <v>379</v>
      </c>
      <c r="I20" s="332" t="s">
        <v>9</v>
      </c>
      <c r="J20" s="332" t="s">
        <v>9</v>
      </c>
      <c r="K20" s="318">
        <f>ROUND(D20/1000,0)</f>
        <v>1554</v>
      </c>
      <c r="L20" s="331" t="s">
        <v>9</v>
      </c>
      <c r="M20" s="330" t="s">
        <v>9</v>
      </c>
      <c r="N20" s="319">
        <f>K20-'[7]Marts'!K20</f>
        <v>629</v>
      </c>
    </row>
    <row r="21" spans="1:14" ht="30.75" customHeight="1">
      <c r="A21" s="333" t="s">
        <v>248</v>
      </c>
      <c r="B21" s="328">
        <v>8446493</v>
      </c>
      <c r="C21" s="328">
        <f>2191841+134664+296329+352329+413329</f>
        <v>3388492</v>
      </c>
      <c r="D21" s="328">
        <f>SUM(D22:D23)</f>
        <v>2085643</v>
      </c>
      <c r="E21" s="316">
        <f>IF(ISERROR(D21/B21)," ",(D21/B21))</f>
        <v>0.24692413762729692</v>
      </c>
      <c r="F21" s="316">
        <f>IF(ISERROR(D21/C21)," ",(D21/C21))</f>
        <v>0.6155077243800487</v>
      </c>
      <c r="G21" s="329">
        <f>SUM(G22:G23)</f>
        <v>1336329</v>
      </c>
      <c r="H21" s="333" t="s">
        <v>248</v>
      </c>
      <c r="I21" s="312">
        <f>ROUND(B21/1000,0)</f>
        <v>8446</v>
      </c>
      <c r="J21" s="312">
        <f>ROUND(C21/1000,0)</f>
        <v>3388</v>
      </c>
      <c r="K21" s="322">
        <f>SUM(K22:K23)</f>
        <v>2085</v>
      </c>
      <c r="L21" s="310">
        <f>IF(ISERROR(ROUND(K21,0)/ROUND(I21,0))," ",(ROUND(K21,)/ROUND(I21,)))</f>
        <v>0.24686242008051149</v>
      </c>
      <c r="M21" s="310">
        <f>IF(ISERROR(ROUND(K21,0)/ROUND(J21,0))," ",(ROUND(K21,)/ROUND(J21,)))</f>
        <v>0.6154073199527745</v>
      </c>
      <c r="N21" s="322">
        <f>SUM(N22:N23)</f>
        <v>1336</v>
      </c>
    </row>
    <row r="22" spans="1:14" ht="27.75" customHeight="1">
      <c r="A22" s="313" t="s">
        <v>380</v>
      </c>
      <c r="B22" s="330" t="s">
        <v>9</v>
      </c>
      <c r="C22" s="330" t="s">
        <v>9</v>
      </c>
      <c r="D22" s="328">
        <v>1452220</v>
      </c>
      <c r="E22" s="331" t="s">
        <v>9</v>
      </c>
      <c r="F22" s="330" t="s">
        <v>9</v>
      </c>
      <c r="G22" s="329">
        <f>D22-'[7]Marts'!D22</f>
        <v>1275199</v>
      </c>
      <c r="H22" s="313" t="s">
        <v>380</v>
      </c>
      <c r="I22" s="332" t="s">
        <v>9</v>
      </c>
      <c r="J22" s="332" t="s">
        <v>9</v>
      </c>
      <c r="K22" s="318">
        <f>ROUND(D22/1000,0)</f>
        <v>1452</v>
      </c>
      <c r="L22" s="331" t="s">
        <v>9</v>
      </c>
      <c r="M22" s="330" t="s">
        <v>9</v>
      </c>
      <c r="N22" s="319">
        <f>K22-'[7]Marts'!K22</f>
        <v>1275</v>
      </c>
    </row>
    <row r="23" spans="1:14" ht="27" customHeight="1">
      <c r="A23" s="313" t="s">
        <v>381</v>
      </c>
      <c r="B23" s="330" t="s">
        <v>9</v>
      </c>
      <c r="C23" s="330" t="s">
        <v>9</v>
      </c>
      <c r="D23" s="328">
        <v>633423</v>
      </c>
      <c r="E23" s="331" t="s">
        <v>9</v>
      </c>
      <c r="F23" s="330" t="s">
        <v>9</v>
      </c>
      <c r="G23" s="329">
        <f>D23-'[7]Marts'!D23</f>
        <v>61130</v>
      </c>
      <c r="H23" s="313" t="s">
        <v>381</v>
      </c>
      <c r="I23" s="332" t="s">
        <v>9</v>
      </c>
      <c r="J23" s="332" t="s">
        <v>9</v>
      </c>
      <c r="K23" s="318">
        <f>ROUND(D23/1000,0)</f>
        <v>633</v>
      </c>
      <c r="L23" s="331" t="s">
        <v>9</v>
      </c>
      <c r="M23" s="330" t="s">
        <v>9</v>
      </c>
      <c r="N23" s="319">
        <f>K23-'[7]Marts'!K23</f>
        <v>61</v>
      </c>
    </row>
    <row r="24" spans="1:14" ht="16.5" customHeight="1">
      <c r="A24" s="334" t="s">
        <v>253</v>
      </c>
      <c r="B24" s="328">
        <v>668604191</v>
      </c>
      <c r="C24" s="328">
        <f>44621944+44700473+47694788+40572861+53838522</f>
        <v>231428588</v>
      </c>
      <c r="D24" s="328">
        <f>SUM(D25,D26,D28,D27,D29,D34,D35)</f>
        <v>216846518</v>
      </c>
      <c r="E24" s="316">
        <f>IF(ISERROR(D24/B24)," ",(D24/B24))</f>
        <v>0.3243271892682468</v>
      </c>
      <c r="F24" s="316">
        <f>IF(ISERROR(D24/C24)," ",(D24/C24))</f>
        <v>0.9369910600673068</v>
      </c>
      <c r="G24" s="329">
        <f>SUM(G25,G26,G28,G27,G29,G34,G35)</f>
        <v>53635006</v>
      </c>
      <c r="H24" s="334" t="s">
        <v>253</v>
      </c>
      <c r="I24" s="312">
        <f>ROUND(B24/1000,0)</f>
        <v>668604</v>
      </c>
      <c r="J24" s="312">
        <f>ROUND(C24/1000,0)</f>
        <v>231429</v>
      </c>
      <c r="K24" s="322">
        <f>SUM(K25,K26,K27,K28,K29,K34,K35)</f>
        <v>216846</v>
      </c>
      <c r="L24" s="310">
        <f>IF(ISERROR(ROUND(K24,0)/ROUND(I24,0))," ",(ROUND(K24,)/ROUND(I24,)))</f>
        <v>0.3243265071701635</v>
      </c>
      <c r="M24" s="310">
        <f>IF(ISERROR(ROUND(K24,0)/ROUND(J24,0))," ",(ROUND(K24,)/ROUND(J24,)))</f>
        <v>0.9369871537274931</v>
      </c>
      <c r="N24" s="322">
        <f>SUM(N25,N26,N27,N28,N29,N34,N35)</f>
        <v>53635</v>
      </c>
    </row>
    <row r="25" spans="1:14" ht="15.75" customHeight="1">
      <c r="A25" s="327" t="s">
        <v>254</v>
      </c>
      <c r="B25" s="330" t="s">
        <v>9</v>
      </c>
      <c r="C25" s="330" t="s">
        <v>9</v>
      </c>
      <c r="D25" s="328">
        <v>825572</v>
      </c>
      <c r="E25" s="331" t="s">
        <v>9</v>
      </c>
      <c r="F25" s="330" t="s">
        <v>9</v>
      </c>
      <c r="G25" s="329">
        <f>D25-'[7]Marts'!D25</f>
        <v>195339</v>
      </c>
      <c r="H25" s="327" t="s">
        <v>254</v>
      </c>
      <c r="I25" s="332" t="s">
        <v>9</v>
      </c>
      <c r="J25" s="332" t="s">
        <v>9</v>
      </c>
      <c r="K25" s="318">
        <f>ROUND(D25/1000,0)</f>
        <v>826</v>
      </c>
      <c r="L25" s="331" t="s">
        <v>9</v>
      </c>
      <c r="M25" s="330" t="s">
        <v>9</v>
      </c>
      <c r="N25" s="319">
        <f>K25-'[7]Marts'!K25</f>
        <v>196</v>
      </c>
    </row>
    <row r="26" spans="1:14" ht="14.25">
      <c r="A26" s="327" t="s">
        <v>255</v>
      </c>
      <c r="B26" s="330" t="s">
        <v>9</v>
      </c>
      <c r="C26" s="330" t="s">
        <v>9</v>
      </c>
      <c r="D26" s="328">
        <v>5357713</v>
      </c>
      <c r="E26" s="331" t="s">
        <v>9</v>
      </c>
      <c r="F26" s="330" t="s">
        <v>9</v>
      </c>
      <c r="G26" s="329">
        <f>D26-'[7]Marts'!D26</f>
        <v>1290677</v>
      </c>
      <c r="H26" s="327" t="s">
        <v>255</v>
      </c>
      <c r="I26" s="332" t="s">
        <v>9</v>
      </c>
      <c r="J26" s="332" t="s">
        <v>9</v>
      </c>
      <c r="K26" s="318">
        <f>ROUND(D26/1000,0)</f>
        <v>5358</v>
      </c>
      <c r="L26" s="331" t="s">
        <v>9</v>
      </c>
      <c r="M26" s="330" t="s">
        <v>9</v>
      </c>
      <c r="N26" s="319">
        <f>K26-'[7]Marts'!K26</f>
        <v>1291</v>
      </c>
    </row>
    <row r="27" spans="1:14" ht="14.25">
      <c r="A27" s="327" t="s">
        <v>256</v>
      </c>
      <c r="B27" s="330" t="s">
        <v>9</v>
      </c>
      <c r="C27" s="330" t="s">
        <v>9</v>
      </c>
      <c r="D27" s="328"/>
      <c r="E27" s="330" t="s">
        <v>9</v>
      </c>
      <c r="F27" s="330" t="s">
        <v>9</v>
      </c>
      <c r="G27" s="329">
        <f>D27-'[7]Marts'!D27</f>
        <v>0</v>
      </c>
      <c r="H27" s="327" t="s">
        <v>256</v>
      </c>
      <c r="I27" s="330" t="s">
        <v>9</v>
      </c>
      <c r="J27" s="330" t="s">
        <v>9</v>
      </c>
      <c r="K27" s="318">
        <f>ROUND(D27/1000,0)</f>
        <v>0</v>
      </c>
      <c r="L27" s="330" t="s">
        <v>9</v>
      </c>
      <c r="M27" s="330" t="s">
        <v>9</v>
      </c>
      <c r="N27" s="319">
        <f>K27-'[7]Marts'!K27</f>
        <v>0</v>
      </c>
    </row>
    <row r="28" spans="1:14" ht="28.5">
      <c r="A28" s="313" t="s">
        <v>257</v>
      </c>
      <c r="B28" s="330" t="s">
        <v>9</v>
      </c>
      <c r="C28" s="330" t="s">
        <v>9</v>
      </c>
      <c r="D28" s="328">
        <f>47300840-400400</f>
        <v>46900440</v>
      </c>
      <c r="E28" s="331" t="s">
        <v>9</v>
      </c>
      <c r="F28" s="330" t="s">
        <v>9</v>
      </c>
      <c r="G28" s="329">
        <f>D28-'[7]Marts'!D28</f>
        <v>12460979</v>
      </c>
      <c r="H28" s="313" t="s">
        <v>257</v>
      </c>
      <c r="I28" s="332" t="s">
        <v>9</v>
      </c>
      <c r="J28" s="332" t="s">
        <v>9</v>
      </c>
      <c r="K28" s="318">
        <f>ROUND(D28/1000,0)</f>
        <v>46900</v>
      </c>
      <c r="L28" s="331" t="s">
        <v>9</v>
      </c>
      <c r="M28" s="330" t="s">
        <v>9</v>
      </c>
      <c r="N28" s="319">
        <f>K28-'[7]Marts'!K28</f>
        <v>12460</v>
      </c>
    </row>
    <row r="29" spans="1:14" ht="15" customHeight="1">
      <c r="A29" s="313" t="s">
        <v>382</v>
      </c>
      <c r="B29" s="330" t="s">
        <v>9</v>
      </c>
      <c r="C29" s="330" t="s">
        <v>9</v>
      </c>
      <c r="D29" s="328">
        <f>SUM(D30:D33)</f>
        <v>163351168</v>
      </c>
      <c r="E29" s="331" t="s">
        <v>9</v>
      </c>
      <c r="F29" s="330" t="s">
        <v>9</v>
      </c>
      <c r="G29" s="329">
        <f>SUM(G30:G33)</f>
        <v>39487811</v>
      </c>
      <c r="H29" s="313" t="s">
        <v>262</v>
      </c>
      <c r="I29" s="332" t="s">
        <v>9</v>
      </c>
      <c r="J29" s="332" t="s">
        <v>9</v>
      </c>
      <c r="K29" s="335">
        <f>SUM(K30:K33)</f>
        <v>163351</v>
      </c>
      <c r="L29" s="331" t="s">
        <v>9</v>
      </c>
      <c r="M29" s="330" t="s">
        <v>9</v>
      </c>
      <c r="N29" s="336">
        <f>SUM(N30:N33)</f>
        <v>39488</v>
      </c>
    </row>
    <row r="30" spans="1:14" s="342" customFormat="1" ht="15" customHeight="1">
      <c r="A30" s="337" t="s">
        <v>383</v>
      </c>
      <c r="B30" s="338" t="s">
        <v>9</v>
      </c>
      <c r="C30" s="338" t="s">
        <v>9</v>
      </c>
      <c r="D30" s="339">
        <v>148647063</v>
      </c>
      <c r="E30" s="340" t="s">
        <v>9</v>
      </c>
      <c r="F30" s="338" t="s">
        <v>9</v>
      </c>
      <c r="G30" s="329">
        <f>D30-'[7]Marts'!D30</f>
        <v>36087794</v>
      </c>
      <c r="H30" s="337" t="s">
        <v>383</v>
      </c>
      <c r="I30" s="341" t="s">
        <v>9</v>
      </c>
      <c r="J30" s="341" t="s">
        <v>9</v>
      </c>
      <c r="K30" s="318">
        <f aca="true" t="shared" si="4" ref="K30:K35">ROUND(D30/1000,0)</f>
        <v>148647</v>
      </c>
      <c r="L30" s="340" t="s">
        <v>9</v>
      </c>
      <c r="M30" s="338" t="s">
        <v>9</v>
      </c>
      <c r="N30" s="319">
        <f>K30-'[7]Marts'!K30</f>
        <v>36087</v>
      </c>
    </row>
    <row r="31" spans="1:14" s="342" customFormat="1" ht="15" customHeight="1">
      <c r="A31" s="337" t="s">
        <v>384</v>
      </c>
      <c r="B31" s="338" t="s">
        <v>9</v>
      </c>
      <c r="C31" s="338" t="s">
        <v>9</v>
      </c>
      <c r="D31" s="339">
        <v>14370764</v>
      </c>
      <c r="E31" s="340" t="s">
        <v>9</v>
      </c>
      <c r="F31" s="338" t="s">
        <v>9</v>
      </c>
      <c r="G31" s="329">
        <f>D31-'[7]Marts'!D31</f>
        <v>3286278</v>
      </c>
      <c r="H31" s="337" t="s">
        <v>384</v>
      </c>
      <c r="I31" s="341" t="s">
        <v>9</v>
      </c>
      <c r="J31" s="341" t="s">
        <v>9</v>
      </c>
      <c r="K31" s="318">
        <f t="shared" si="4"/>
        <v>14371</v>
      </c>
      <c r="L31" s="340" t="s">
        <v>9</v>
      </c>
      <c r="M31" s="338" t="s">
        <v>9</v>
      </c>
      <c r="N31" s="319">
        <f>K31-'[7]Marts'!K31</f>
        <v>3287</v>
      </c>
    </row>
    <row r="32" spans="1:14" s="342" customFormat="1" ht="15" customHeight="1">
      <c r="A32" s="337" t="s">
        <v>385</v>
      </c>
      <c r="B32" s="338" t="s">
        <v>9</v>
      </c>
      <c r="C32" s="338" t="s">
        <v>9</v>
      </c>
      <c r="D32" s="339">
        <v>199150</v>
      </c>
      <c r="E32" s="340" t="s">
        <v>9</v>
      </c>
      <c r="F32" s="338" t="s">
        <v>9</v>
      </c>
      <c r="G32" s="329">
        <f>D32-'[7]Marts'!D32</f>
        <v>78803</v>
      </c>
      <c r="H32" s="337" t="s">
        <v>385</v>
      </c>
      <c r="I32" s="341" t="s">
        <v>9</v>
      </c>
      <c r="J32" s="341" t="s">
        <v>9</v>
      </c>
      <c r="K32" s="318">
        <f t="shared" si="4"/>
        <v>199</v>
      </c>
      <c r="L32" s="340" t="s">
        <v>9</v>
      </c>
      <c r="M32" s="338" t="s">
        <v>9</v>
      </c>
      <c r="N32" s="319">
        <f>K32-'[7]Marts'!K32</f>
        <v>79</v>
      </c>
    </row>
    <row r="33" spans="1:14" s="342" customFormat="1" ht="15" customHeight="1">
      <c r="A33" s="337" t="s">
        <v>386</v>
      </c>
      <c r="B33" s="338" t="s">
        <v>9</v>
      </c>
      <c r="C33" s="338" t="s">
        <v>9</v>
      </c>
      <c r="D33" s="339">
        <v>134191</v>
      </c>
      <c r="E33" s="340" t="s">
        <v>9</v>
      </c>
      <c r="F33" s="338" t="s">
        <v>9</v>
      </c>
      <c r="G33" s="329">
        <f>D33-'[7]Marts'!D33</f>
        <v>34936</v>
      </c>
      <c r="H33" s="337" t="s">
        <v>386</v>
      </c>
      <c r="I33" s="341" t="s">
        <v>9</v>
      </c>
      <c r="J33" s="341" t="s">
        <v>9</v>
      </c>
      <c r="K33" s="343">
        <f t="shared" si="4"/>
        <v>134</v>
      </c>
      <c r="L33" s="340" t="s">
        <v>9</v>
      </c>
      <c r="M33" s="338" t="s">
        <v>9</v>
      </c>
      <c r="N33" s="319">
        <f>K33-'[7]Marts'!K33</f>
        <v>35</v>
      </c>
    </row>
    <row r="34" spans="1:14" ht="29.25">
      <c r="A34" s="313" t="s">
        <v>387</v>
      </c>
      <c r="B34" s="338">
        <v>66000</v>
      </c>
      <c r="C34" s="338">
        <f>46600</f>
        <v>46600</v>
      </c>
      <c r="D34" s="328">
        <v>11225</v>
      </c>
      <c r="E34" s="316">
        <f>IF(ISERROR(D34/B34)," ",(D34/B34))</f>
        <v>0.17007575757575757</v>
      </c>
      <c r="F34" s="316">
        <f>IF(ISERROR(D34/C34)," ",(D34/C34))</f>
        <v>0.24087982832618027</v>
      </c>
      <c r="G34" s="329">
        <f>D34-'[7]Marts'!D34</f>
        <v>0</v>
      </c>
      <c r="H34" s="313" t="s">
        <v>387</v>
      </c>
      <c r="I34" s="344">
        <f>ROUND(B34/1000,0)</f>
        <v>66</v>
      </c>
      <c r="J34" s="344">
        <f>ROUND(C34/1000,0)</f>
        <v>47</v>
      </c>
      <c r="K34" s="318">
        <f t="shared" si="4"/>
        <v>11</v>
      </c>
      <c r="L34" s="310">
        <f>IF(ISERROR(ROUND(K34,0)/ROUND(I34,0))," ",(ROUND(K34,)/ROUND(I34,)))</f>
        <v>0.16666666666666666</v>
      </c>
      <c r="M34" s="310">
        <f>IF(ISERROR(ROUND(K34,0)/ROUND(J34,0))," ",(ROUND(K34,)/ROUND(J34,)))</f>
        <v>0.23404255319148937</v>
      </c>
      <c r="N34" s="319">
        <f>K34-'[7]Marts'!K34</f>
        <v>0</v>
      </c>
    </row>
    <row r="35" spans="1:14" ht="43.5">
      <c r="A35" s="313" t="s">
        <v>388</v>
      </c>
      <c r="B35" s="338">
        <v>1201200</v>
      </c>
      <c r="C35" s="338" t="s">
        <v>9</v>
      </c>
      <c r="D35" s="328">
        <v>400400</v>
      </c>
      <c r="E35" s="316">
        <f>IF(ISERROR(D35/B35)," ",(D35/B35))</f>
        <v>0.3333333333333333</v>
      </c>
      <c r="F35" s="338" t="s">
        <v>9</v>
      </c>
      <c r="G35" s="329">
        <f>D35-'[7]Marts'!D35</f>
        <v>200200</v>
      </c>
      <c r="H35" s="313" t="s">
        <v>388</v>
      </c>
      <c r="I35" s="344">
        <f>ROUND(B35/1000,0)</f>
        <v>1201</v>
      </c>
      <c r="J35" s="341" t="s">
        <v>9</v>
      </c>
      <c r="K35" s="318">
        <f t="shared" si="4"/>
        <v>400</v>
      </c>
      <c r="L35" s="310">
        <f>IF(ISERROR(ROUND(K35,0)/ROUND(I35,0))," ",(ROUND(K35,)/ROUND(I35,)))</f>
        <v>0.33305578684429643</v>
      </c>
      <c r="M35" s="338" t="s">
        <v>9</v>
      </c>
      <c r="N35" s="319">
        <f>K35-'[7]Marts'!K35</f>
        <v>200</v>
      </c>
    </row>
    <row r="36" spans="1:14" ht="32.25" customHeight="1">
      <c r="A36" s="345" t="s">
        <v>272</v>
      </c>
      <c r="B36" s="346">
        <f>SUM(B37:B38)</f>
        <v>37395938</v>
      </c>
      <c r="C36" s="346">
        <f>SUM(C37:C38)</f>
        <v>12973022</v>
      </c>
      <c r="D36" s="346">
        <f>SUM(D37:D38)</f>
        <v>7800720</v>
      </c>
      <c r="E36" s="310">
        <f>IF(ISERROR(D36/B36)," ",(D36/B36))</f>
        <v>0.2085980568263858</v>
      </c>
      <c r="F36" s="310">
        <f>IF(ISERROR(D36/C36)," ",(D36/C36))</f>
        <v>0.6013032275748857</v>
      </c>
      <c r="G36" s="347">
        <f>SUM(G37:G38)</f>
        <v>1521876</v>
      </c>
      <c r="H36" s="345" t="s">
        <v>272</v>
      </c>
      <c r="I36" s="348">
        <f>SUM(I37:I38)</f>
        <v>37396</v>
      </c>
      <c r="J36" s="348">
        <f>SUM(J37:J38)</f>
        <v>12973</v>
      </c>
      <c r="K36" s="348">
        <f>SUM(K37:K38)</f>
        <v>7801</v>
      </c>
      <c r="L36" s="310">
        <f>IF(ISERROR(ROUND(K36,0)/ROUND(I36,0))," ",(ROUND(K36,)/ROUND(I36,)))</f>
        <v>0.208605198416943</v>
      </c>
      <c r="M36" s="310">
        <f>IF(ISERROR(ROUND(K36,0)/ROUND(J36,0))," ",(ROUND(K36,)/ROUND(J36,)))</f>
        <v>0.6013258305711863</v>
      </c>
      <c r="N36" s="348">
        <f>SUM(N37:N38)</f>
        <v>1523</v>
      </c>
    </row>
    <row r="37" spans="1:14" ht="18" customHeight="1">
      <c r="A37" s="313" t="s">
        <v>274</v>
      </c>
      <c r="B37" s="349">
        <v>10550686</v>
      </c>
      <c r="C37" s="349">
        <f>4119418</f>
        <v>4119418</v>
      </c>
      <c r="D37" s="328">
        <v>3435579</v>
      </c>
      <c r="E37" s="316">
        <f>IF(ISERROR(D37/B37)," ",(D37/B37))</f>
        <v>0.3256261251638045</v>
      </c>
      <c r="F37" s="316">
        <f>IF(ISERROR(D37/C37)," ",(D37/C37))</f>
        <v>0.8339962101442485</v>
      </c>
      <c r="G37" s="329">
        <f>D37-'[7]Marts'!D37</f>
        <v>638495</v>
      </c>
      <c r="H37" s="313" t="s">
        <v>274</v>
      </c>
      <c r="I37" s="319">
        <f aca="true" t="shared" si="5" ref="I37:K45">ROUND(B37/1000,0)</f>
        <v>10551</v>
      </c>
      <c r="J37" s="319">
        <f t="shared" si="5"/>
        <v>4119</v>
      </c>
      <c r="K37" s="318">
        <f t="shared" si="5"/>
        <v>3436</v>
      </c>
      <c r="L37" s="316">
        <f>IF(ISERROR(ROUND(K37,0)/ROUND(I37,0))," ",(ROUND(K37,)/ROUND(I37,)))</f>
        <v>0.3256563358923325</v>
      </c>
      <c r="M37" s="316">
        <f>IF(ISERROR(ROUND(K37,0)/ROUND(J37,0))," ",(ROUND(K37,)/ROUND(J37,)))</f>
        <v>0.8341830541393542</v>
      </c>
      <c r="N37" s="319">
        <f>K37-'[7]Marts'!K37</f>
        <v>639</v>
      </c>
    </row>
    <row r="38" spans="1:14" ht="14.25">
      <c r="A38" s="313" t="s">
        <v>276</v>
      </c>
      <c r="B38" s="350">
        <v>26845252</v>
      </c>
      <c r="C38" s="349">
        <f>7165200+162741+426941+417131+681591</f>
        <v>8853604</v>
      </c>
      <c r="D38" s="339">
        <v>4365141</v>
      </c>
      <c r="E38" s="316">
        <f>IF(ISERROR(D38/B38)," ",(D38/B38))</f>
        <v>0.1626038377289213</v>
      </c>
      <c r="F38" s="316">
        <f>IF(ISERROR(D38/C38)," ",(D38/C38))</f>
        <v>0.4930354915354244</v>
      </c>
      <c r="G38" s="329">
        <f>D38-'[7]Marts'!D38</f>
        <v>883381</v>
      </c>
      <c r="H38" s="313" t="s">
        <v>276</v>
      </c>
      <c r="I38" s="319">
        <f t="shared" si="5"/>
        <v>26845</v>
      </c>
      <c r="J38" s="319">
        <f t="shared" si="5"/>
        <v>8854</v>
      </c>
      <c r="K38" s="318">
        <f t="shared" si="5"/>
        <v>4365</v>
      </c>
      <c r="L38" s="316">
        <f>IF(ISERROR(ROUND(K38,0)/ROUND(I38,0))," ",(ROUND(K38,)/ROUND(I38,)))</f>
        <v>0.16260011175265413</v>
      </c>
      <c r="M38" s="316">
        <f>IF(ISERROR(ROUND(K38,0)/ROUND(J38,0))," ",(ROUND(K38,)/ROUND(J38,)))</f>
        <v>0.4929975152473458</v>
      </c>
      <c r="N38" s="319">
        <f>K38-'[7]Marts'!K38</f>
        <v>884</v>
      </c>
    </row>
    <row r="39" spans="1:14" ht="30.75" customHeight="1">
      <c r="A39" s="333" t="s">
        <v>389</v>
      </c>
      <c r="B39" s="324">
        <f>SUM(B40-B41)</f>
        <v>6739620</v>
      </c>
      <c r="C39" s="330" t="s">
        <v>9</v>
      </c>
      <c r="D39" s="324">
        <f>SUM(D40-D41)</f>
        <v>1623765</v>
      </c>
      <c r="E39" s="331" t="s">
        <v>9</v>
      </c>
      <c r="F39" s="330" t="s">
        <v>9</v>
      </c>
      <c r="G39" s="325">
        <f>SUM(G40-G41)</f>
        <v>532410</v>
      </c>
      <c r="H39" s="333" t="s">
        <v>389</v>
      </c>
      <c r="I39" s="312">
        <f t="shared" si="5"/>
        <v>6740</v>
      </c>
      <c r="J39" s="332" t="s">
        <v>9</v>
      </c>
      <c r="K39" s="326">
        <f>SUM(K40-K41)</f>
        <v>1624</v>
      </c>
      <c r="L39" s="316">
        <f aca="true" t="shared" si="6" ref="L39:L45">IF(ISERROR(ROUND(K39,0)/ROUND(I39,0))," ",(ROUND(K39,)/ROUND(I39,)))</f>
        <v>0.24094955489614242</v>
      </c>
      <c r="M39" s="331" t="s">
        <v>9</v>
      </c>
      <c r="N39" s="326">
        <f>SUM(N40-N41)</f>
        <v>532</v>
      </c>
    </row>
    <row r="40" spans="1:14" ht="19.5" customHeight="1">
      <c r="A40" s="327" t="s">
        <v>281</v>
      </c>
      <c r="B40" s="349">
        <v>6756000</v>
      </c>
      <c r="C40" s="330">
        <v>2337400</v>
      </c>
      <c r="D40" s="328">
        <v>1636863</v>
      </c>
      <c r="E40" s="316">
        <f aca="true" t="shared" si="7" ref="E40:E45">IF(ISERROR(D40/B40)," ",(D40/B40))</f>
        <v>0.24228285968028418</v>
      </c>
      <c r="F40" s="316">
        <f>IF(ISERROR(D40/C40)," ",(D40/C40))</f>
        <v>0.7002922050141183</v>
      </c>
      <c r="G40" s="329">
        <f>D40-'[7]Marts'!D40</f>
        <v>534296</v>
      </c>
      <c r="H40" s="327" t="s">
        <v>281</v>
      </c>
      <c r="I40" s="318">
        <f t="shared" si="5"/>
        <v>6756</v>
      </c>
      <c r="J40" s="318">
        <f>ROUND(C40/1000,0)</f>
        <v>2337</v>
      </c>
      <c r="K40" s="318">
        <f>ROUND(D40/1000,0)</f>
        <v>1637</v>
      </c>
      <c r="L40" s="316">
        <f t="shared" si="6"/>
        <v>0.24230313795145056</v>
      </c>
      <c r="M40" s="316">
        <f>IF(ISERROR(ROUND(K40,0)/ROUND(J40,0))," ",(ROUND(K40,)/ROUND(J40,)))</f>
        <v>0.7004706889174155</v>
      </c>
      <c r="N40" s="319">
        <f>K40-'[7]Marts'!K40</f>
        <v>534</v>
      </c>
    </row>
    <row r="41" spans="1:14" ht="27.75" customHeight="1">
      <c r="A41" s="351" t="s">
        <v>283</v>
      </c>
      <c r="B41" s="349">
        <v>16380</v>
      </c>
      <c r="C41" s="330">
        <v>3928</v>
      </c>
      <c r="D41" s="328">
        <v>13098</v>
      </c>
      <c r="E41" s="316">
        <f t="shared" si="7"/>
        <v>0.7996336996336997</v>
      </c>
      <c r="F41" s="316">
        <f>IF(ISERROR(D41/C41)," ",(D41/C41))</f>
        <v>3.334521384928717</v>
      </c>
      <c r="G41" s="329">
        <f>D41-'[7]Marts'!D41</f>
        <v>1886</v>
      </c>
      <c r="H41" s="351" t="s">
        <v>283</v>
      </c>
      <c r="I41" s="318">
        <f t="shared" si="5"/>
        <v>16</v>
      </c>
      <c r="J41" s="318">
        <f>ROUND(C41/1000,0)</f>
        <v>4</v>
      </c>
      <c r="K41" s="318">
        <f>ROUND(D41/1000,0)</f>
        <v>13</v>
      </c>
      <c r="L41" s="316">
        <f t="shared" si="6"/>
        <v>0.8125</v>
      </c>
      <c r="M41" s="330" t="s">
        <v>9</v>
      </c>
      <c r="N41" s="319">
        <f>K41-'[7]Marts'!K41</f>
        <v>2</v>
      </c>
    </row>
    <row r="42" spans="1:163" s="352" customFormat="1" ht="21.75" customHeight="1">
      <c r="A42" s="333" t="s">
        <v>390</v>
      </c>
      <c r="B42" s="346">
        <f>SUM(B10-B14-B39)</f>
        <v>-50424176</v>
      </c>
      <c r="C42" s="330" t="s">
        <v>9</v>
      </c>
      <c r="D42" s="346">
        <f>SUM(D10-D14-D39)</f>
        <v>-22276218</v>
      </c>
      <c r="E42" s="310">
        <f t="shared" si="7"/>
        <v>0.4417765398883266</v>
      </c>
      <c r="F42" s="330" t="s">
        <v>9</v>
      </c>
      <c r="G42" s="347">
        <f>SUM(G10-G14-G39)</f>
        <v>-3390989</v>
      </c>
      <c r="H42" s="333" t="s">
        <v>390</v>
      </c>
      <c r="I42" s="312">
        <f t="shared" si="5"/>
        <v>-50424</v>
      </c>
      <c r="J42" s="332" t="s">
        <v>9</v>
      </c>
      <c r="K42" s="348">
        <f>SUM(K10-K14-K39)</f>
        <v>-22277</v>
      </c>
      <c r="L42" s="310">
        <f t="shared" si="6"/>
        <v>0.4417935903537998</v>
      </c>
      <c r="M42" s="330" t="s">
        <v>9</v>
      </c>
      <c r="N42" s="348">
        <f>SUM(N10-N14-N39)</f>
        <v>-3393</v>
      </c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68"/>
      <c r="AW42" s="268"/>
      <c r="AX42" s="268"/>
      <c r="AY42" s="268"/>
      <c r="AZ42" s="268"/>
      <c r="BA42" s="268"/>
      <c r="BB42" s="268"/>
      <c r="BC42" s="268"/>
      <c r="BD42" s="268"/>
      <c r="BE42" s="268"/>
      <c r="BF42" s="268"/>
      <c r="BG42" s="268"/>
      <c r="BH42" s="268"/>
      <c r="BI42" s="268"/>
      <c r="BJ42" s="268"/>
      <c r="BK42" s="268"/>
      <c r="BL42" s="268"/>
      <c r="BM42" s="268"/>
      <c r="BN42" s="268"/>
      <c r="BO42" s="268"/>
      <c r="BP42" s="268"/>
      <c r="BQ42" s="268"/>
      <c r="BR42" s="268"/>
      <c r="BS42" s="268"/>
      <c r="BT42" s="268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268"/>
      <c r="CT42" s="268"/>
      <c r="CU42" s="268"/>
      <c r="CV42" s="268"/>
      <c r="CW42" s="268"/>
      <c r="CX42" s="268"/>
      <c r="CY42" s="268"/>
      <c r="CZ42" s="268"/>
      <c r="DA42" s="268"/>
      <c r="DB42" s="268"/>
      <c r="DC42" s="268"/>
      <c r="DD42" s="268"/>
      <c r="DE42" s="268"/>
      <c r="DF42" s="268"/>
      <c r="DG42" s="268"/>
      <c r="DH42" s="268"/>
      <c r="DI42" s="268"/>
      <c r="DJ42" s="268"/>
      <c r="DK42" s="268"/>
      <c r="DL42" s="268"/>
      <c r="DM42" s="268"/>
      <c r="DN42" s="268"/>
      <c r="DO42" s="268"/>
      <c r="DP42" s="268"/>
      <c r="DQ42" s="268"/>
      <c r="DR42" s="268"/>
      <c r="DS42" s="268"/>
      <c r="DT42" s="268"/>
      <c r="DU42" s="268"/>
      <c r="DV42" s="268"/>
      <c r="DW42" s="268"/>
      <c r="DX42" s="268"/>
      <c r="DY42" s="268"/>
      <c r="DZ42" s="268"/>
      <c r="EA42" s="268"/>
      <c r="EB42" s="268"/>
      <c r="EC42" s="268"/>
      <c r="ED42" s="268"/>
      <c r="EE42" s="268"/>
      <c r="EF42" s="268"/>
      <c r="EG42" s="268"/>
      <c r="EH42" s="268"/>
      <c r="EI42" s="268"/>
      <c r="EJ42" s="268"/>
      <c r="EK42" s="268"/>
      <c r="EL42" s="268"/>
      <c r="EM42" s="268"/>
      <c r="EN42" s="268"/>
      <c r="EO42" s="268"/>
      <c r="EP42" s="268"/>
      <c r="EQ42" s="268"/>
      <c r="ER42" s="268"/>
      <c r="ES42" s="268"/>
      <c r="ET42" s="268"/>
      <c r="EU42" s="268"/>
      <c r="EV42" s="268"/>
      <c r="EW42" s="268"/>
      <c r="EX42" s="268"/>
      <c r="EY42" s="268"/>
      <c r="EZ42" s="268"/>
      <c r="FA42" s="268"/>
      <c r="FB42" s="268"/>
      <c r="FC42" s="268"/>
      <c r="FD42" s="268"/>
      <c r="FE42" s="268"/>
      <c r="FF42" s="268"/>
      <c r="FG42" s="268"/>
    </row>
    <row r="43" spans="1:163" s="352" customFormat="1" ht="18" customHeight="1">
      <c r="A43" s="333" t="s">
        <v>286</v>
      </c>
      <c r="B43" s="324">
        <f>SUM(B44:B45)</f>
        <v>50424176</v>
      </c>
      <c r="C43" s="330" t="s">
        <v>9</v>
      </c>
      <c r="D43" s="324">
        <f>SUM(D44:D45)</f>
        <v>22276218</v>
      </c>
      <c r="E43" s="316">
        <f t="shared" si="7"/>
        <v>0.4417765398883266</v>
      </c>
      <c r="F43" s="330" t="s">
        <v>9</v>
      </c>
      <c r="G43" s="325">
        <f>SUM(G44:G45)</f>
        <v>3390989</v>
      </c>
      <c r="H43" s="333" t="s">
        <v>286</v>
      </c>
      <c r="I43" s="312">
        <f t="shared" si="5"/>
        <v>50424</v>
      </c>
      <c r="J43" s="332" t="s">
        <v>9</v>
      </c>
      <c r="K43" s="312">
        <f>K44+K45</f>
        <v>22277</v>
      </c>
      <c r="L43" s="310">
        <f t="shared" si="6"/>
        <v>0.4417935903537998</v>
      </c>
      <c r="M43" s="330" t="s">
        <v>9</v>
      </c>
      <c r="N43" s="324">
        <f>SUM(N44:N45)</f>
        <v>3393</v>
      </c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8"/>
      <c r="BX43" s="268"/>
      <c r="BY43" s="268"/>
      <c r="BZ43" s="268"/>
      <c r="CA43" s="268"/>
      <c r="CB43" s="268"/>
      <c r="CC43" s="268"/>
      <c r="CD43" s="268"/>
      <c r="CE43" s="268"/>
      <c r="CF43" s="268"/>
      <c r="CG43" s="268"/>
      <c r="CH43" s="268"/>
      <c r="CI43" s="268"/>
      <c r="CJ43" s="268"/>
      <c r="CK43" s="268"/>
      <c r="CL43" s="268"/>
      <c r="CM43" s="268"/>
      <c r="CN43" s="268"/>
      <c r="CO43" s="268"/>
      <c r="CP43" s="268"/>
      <c r="CQ43" s="268"/>
      <c r="CR43" s="268"/>
      <c r="CS43" s="268"/>
      <c r="CT43" s="268"/>
      <c r="CU43" s="268"/>
      <c r="CV43" s="268"/>
      <c r="CW43" s="268"/>
      <c r="CX43" s="268"/>
      <c r="CY43" s="268"/>
      <c r="CZ43" s="268"/>
      <c r="DA43" s="268"/>
      <c r="DB43" s="268"/>
      <c r="DC43" s="268"/>
      <c r="DD43" s="268"/>
      <c r="DE43" s="268"/>
      <c r="DF43" s="268"/>
      <c r="DG43" s="268"/>
      <c r="DH43" s="268"/>
      <c r="DI43" s="268"/>
      <c r="DJ43" s="268"/>
      <c r="DK43" s="268"/>
      <c r="DL43" s="268"/>
      <c r="DM43" s="268"/>
      <c r="DN43" s="268"/>
      <c r="DO43" s="268"/>
      <c r="DP43" s="268"/>
      <c r="DQ43" s="268"/>
      <c r="DR43" s="268"/>
      <c r="DS43" s="268"/>
      <c r="DT43" s="268"/>
      <c r="DU43" s="268"/>
      <c r="DV43" s="268"/>
      <c r="DW43" s="268"/>
      <c r="DX43" s="268"/>
      <c r="DY43" s="268"/>
      <c r="DZ43" s="268"/>
      <c r="EA43" s="268"/>
      <c r="EB43" s="268"/>
      <c r="EC43" s="268"/>
      <c r="ED43" s="268"/>
      <c r="EE43" s="268"/>
      <c r="EF43" s="268"/>
      <c r="EG43" s="268"/>
      <c r="EH43" s="268"/>
      <c r="EI43" s="268"/>
      <c r="EJ43" s="268"/>
      <c r="EK43" s="268"/>
      <c r="EL43" s="268"/>
      <c r="EM43" s="268"/>
      <c r="EN43" s="268"/>
      <c r="EO43" s="268"/>
      <c r="EP43" s="268"/>
      <c r="EQ43" s="268"/>
      <c r="ER43" s="268"/>
      <c r="ES43" s="268"/>
      <c r="ET43" s="268"/>
      <c r="EU43" s="268"/>
      <c r="EV43" s="268"/>
      <c r="EW43" s="268"/>
      <c r="EX43" s="268"/>
      <c r="EY43" s="268"/>
      <c r="EZ43" s="268"/>
      <c r="FA43" s="268"/>
      <c r="FB43" s="268"/>
      <c r="FC43" s="268"/>
      <c r="FD43" s="268"/>
      <c r="FE43" s="268"/>
      <c r="FF43" s="268"/>
      <c r="FG43" s="268"/>
    </row>
    <row r="44" spans="1:163" s="352" customFormat="1" ht="17.25" customHeight="1">
      <c r="A44" s="313" t="s">
        <v>308</v>
      </c>
      <c r="B44" s="349">
        <v>52217619</v>
      </c>
      <c r="C44" s="330" t="s">
        <v>9</v>
      </c>
      <c r="D44" s="328">
        <f>7621192+22169660-300000-1213349</f>
        <v>28277503</v>
      </c>
      <c r="E44" s="316">
        <f t="shared" si="7"/>
        <v>0.5415318343029007</v>
      </c>
      <c r="F44" s="330" t="s">
        <v>9</v>
      </c>
      <c r="G44" s="329">
        <f>D44-'[7]Marts'!D44</f>
        <v>5391825</v>
      </c>
      <c r="H44" s="313" t="s">
        <v>308</v>
      </c>
      <c r="I44" s="318">
        <f t="shared" si="5"/>
        <v>52218</v>
      </c>
      <c r="J44" s="332" t="s">
        <v>9</v>
      </c>
      <c r="K44" s="318">
        <f>ROUND(D44/1000,0)-1</f>
        <v>28277</v>
      </c>
      <c r="L44" s="316">
        <f t="shared" si="6"/>
        <v>0.5415182504117354</v>
      </c>
      <c r="M44" s="330" t="s">
        <v>9</v>
      </c>
      <c r="N44" s="319">
        <f>K44-'[7]Marts'!K44+1</f>
        <v>5393</v>
      </c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8"/>
      <c r="AU44" s="268"/>
      <c r="AV44" s="268"/>
      <c r="AW44" s="268"/>
      <c r="AX44" s="268"/>
      <c r="AY44" s="268"/>
      <c r="AZ44" s="268"/>
      <c r="BA44" s="268"/>
      <c r="BB44" s="268"/>
      <c r="BC44" s="268"/>
      <c r="BD44" s="268"/>
      <c r="BE44" s="268"/>
      <c r="BF44" s="268"/>
      <c r="BG44" s="268"/>
      <c r="BH44" s="268"/>
      <c r="BI44" s="268"/>
      <c r="BJ44" s="268"/>
      <c r="BK44" s="268"/>
      <c r="BL44" s="268"/>
      <c r="BM44" s="268"/>
      <c r="BN44" s="268"/>
      <c r="BO44" s="268"/>
      <c r="BP44" s="268"/>
      <c r="BQ44" s="268"/>
      <c r="BR44" s="268"/>
      <c r="BS44" s="268"/>
      <c r="BT44" s="268"/>
      <c r="BU44" s="268"/>
      <c r="BV44" s="268"/>
      <c r="BW44" s="268"/>
      <c r="BX44" s="268"/>
      <c r="BY44" s="268"/>
      <c r="BZ44" s="268"/>
      <c r="CA44" s="268"/>
      <c r="CB44" s="268"/>
      <c r="CC44" s="268"/>
      <c r="CD44" s="268"/>
      <c r="CE44" s="268"/>
      <c r="CF44" s="268"/>
      <c r="CG44" s="268"/>
      <c r="CH44" s="268"/>
      <c r="CI44" s="268"/>
      <c r="CJ44" s="268"/>
      <c r="CK44" s="268"/>
      <c r="CL44" s="268"/>
      <c r="CM44" s="268"/>
      <c r="CN44" s="268"/>
      <c r="CO44" s="268"/>
      <c r="CP44" s="268"/>
      <c r="CQ44" s="268"/>
      <c r="CR44" s="268"/>
      <c r="CS44" s="268"/>
      <c r="CT44" s="268"/>
      <c r="CU44" s="268"/>
      <c r="CV44" s="268"/>
      <c r="CW44" s="268"/>
      <c r="CX44" s="268"/>
      <c r="CY44" s="268"/>
      <c r="CZ44" s="268"/>
      <c r="DA44" s="268"/>
      <c r="DB44" s="268"/>
      <c r="DC44" s="268"/>
      <c r="DD44" s="268"/>
      <c r="DE44" s="268"/>
      <c r="DF44" s="268"/>
      <c r="DG44" s="268"/>
      <c r="DH44" s="268"/>
      <c r="DI44" s="268"/>
      <c r="DJ44" s="268"/>
      <c r="DK44" s="268"/>
      <c r="DL44" s="268"/>
      <c r="DM44" s="268"/>
      <c r="DN44" s="268"/>
      <c r="DO44" s="268"/>
      <c r="DP44" s="268"/>
      <c r="DQ44" s="268"/>
      <c r="DR44" s="268"/>
      <c r="DS44" s="268"/>
      <c r="DT44" s="268"/>
      <c r="DU44" s="268"/>
      <c r="DV44" s="268"/>
      <c r="DW44" s="268"/>
      <c r="DX44" s="268"/>
      <c r="DY44" s="268"/>
      <c r="DZ44" s="268"/>
      <c r="EA44" s="268"/>
      <c r="EB44" s="268"/>
      <c r="EC44" s="268"/>
      <c r="ED44" s="268"/>
      <c r="EE44" s="268"/>
      <c r="EF44" s="268"/>
      <c r="EG44" s="268"/>
      <c r="EH44" s="268"/>
      <c r="EI44" s="268"/>
      <c r="EJ44" s="268"/>
      <c r="EK44" s="268"/>
      <c r="EL44" s="268"/>
      <c r="EM44" s="268"/>
      <c r="EN44" s="268"/>
      <c r="EO44" s="268"/>
      <c r="EP44" s="268"/>
      <c r="EQ44" s="268"/>
      <c r="ER44" s="268"/>
      <c r="ES44" s="268"/>
      <c r="ET44" s="268"/>
      <c r="EU44" s="268"/>
      <c r="EV44" s="268"/>
      <c r="EW44" s="268"/>
      <c r="EX44" s="268"/>
      <c r="EY44" s="268"/>
      <c r="EZ44" s="268"/>
      <c r="FA44" s="268"/>
      <c r="FB44" s="268"/>
      <c r="FC44" s="268"/>
      <c r="FD44" s="268"/>
      <c r="FE44" s="268"/>
      <c r="FF44" s="268"/>
      <c r="FG44" s="268"/>
    </row>
    <row r="45" spans="1:163" s="352" customFormat="1" ht="45.75" customHeight="1">
      <c r="A45" s="313" t="s">
        <v>391</v>
      </c>
      <c r="B45" s="349">
        <v>-1793443</v>
      </c>
      <c r="C45" s="330" t="s">
        <v>9</v>
      </c>
      <c r="D45" s="328">
        <f>-(D42+D44)</f>
        <v>-6001285</v>
      </c>
      <c r="E45" s="316">
        <f t="shared" si="7"/>
        <v>3.346236819346921</v>
      </c>
      <c r="F45" s="330" t="s">
        <v>9</v>
      </c>
      <c r="G45" s="329">
        <f>D45-'[7]Marts'!D45</f>
        <v>-2000836</v>
      </c>
      <c r="H45" s="313" t="s">
        <v>391</v>
      </c>
      <c r="I45" s="318">
        <f t="shared" si="5"/>
        <v>-1793</v>
      </c>
      <c r="J45" s="332" t="s">
        <v>9</v>
      </c>
      <c r="K45" s="318">
        <f>ROUND(D45/1000,0)+1</f>
        <v>-6000</v>
      </c>
      <c r="L45" s="316">
        <f t="shared" si="6"/>
        <v>3.3463469046291134</v>
      </c>
      <c r="M45" s="330" t="s">
        <v>9</v>
      </c>
      <c r="N45" s="318">
        <f>K45-'[7]Marts'!K45</f>
        <v>-2000</v>
      </c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8"/>
      <c r="BG45" s="268"/>
      <c r="BH45" s="268"/>
      <c r="BI45" s="268"/>
      <c r="BJ45" s="268"/>
      <c r="BK45" s="268"/>
      <c r="BL45" s="268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  <c r="DE45" s="268"/>
      <c r="DF45" s="268"/>
      <c r="DG45" s="268"/>
      <c r="DH45" s="268"/>
      <c r="DI45" s="268"/>
      <c r="DJ45" s="268"/>
      <c r="DK45" s="268"/>
      <c r="DL45" s="268"/>
      <c r="DM45" s="268"/>
      <c r="DN45" s="268"/>
      <c r="DO45" s="268"/>
      <c r="DP45" s="268"/>
      <c r="DQ45" s="268"/>
      <c r="DR45" s="268"/>
      <c r="DS45" s="268"/>
      <c r="DT45" s="268"/>
      <c r="DU45" s="268"/>
      <c r="DV45" s="268"/>
      <c r="DW45" s="268"/>
      <c r="DX45" s="268"/>
      <c r="DY45" s="268"/>
      <c r="DZ45" s="268"/>
      <c r="EA45" s="268"/>
      <c r="EB45" s="268"/>
      <c r="EC45" s="268"/>
      <c r="ED45" s="268"/>
      <c r="EE45" s="268"/>
      <c r="EF45" s="268"/>
      <c r="EG45" s="268"/>
      <c r="EH45" s="268"/>
      <c r="EI45" s="268"/>
      <c r="EJ45" s="268"/>
      <c r="EK45" s="268"/>
      <c r="EL45" s="268"/>
      <c r="EM45" s="268"/>
      <c r="EN45" s="268"/>
      <c r="EO45" s="268"/>
      <c r="EP45" s="268"/>
      <c r="EQ45" s="268"/>
      <c r="ER45" s="268"/>
      <c r="ES45" s="268"/>
      <c r="ET45" s="268"/>
      <c r="EU45" s="268"/>
      <c r="EV45" s="268"/>
      <c r="EW45" s="268"/>
      <c r="EX45" s="268"/>
      <c r="EY45" s="268"/>
      <c r="EZ45" s="268"/>
      <c r="FA45" s="268"/>
      <c r="FB45" s="268"/>
      <c r="FC45" s="268"/>
      <c r="FD45" s="268"/>
      <c r="FE45" s="268"/>
      <c r="FF45" s="268"/>
      <c r="FG45" s="268"/>
    </row>
    <row r="46" spans="1:13" s="358" customFormat="1" ht="14.25">
      <c r="A46" s="353"/>
      <c r="B46" s="354"/>
      <c r="C46" s="354"/>
      <c r="D46" s="355"/>
      <c r="E46" s="356"/>
      <c r="F46" s="357"/>
      <c r="H46" s="353"/>
      <c r="I46" s="354"/>
      <c r="J46" s="354"/>
      <c r="K46" s="355"/>
      <c r="L46" s="356"/>
      <c r="M46" s="357"/>
    </row>
    <row r="47" spans="1:13" s="358" customFormat="1" ht="14.25">
      <c r="A47" s="353"/>
      <c r="B47" s="354"/>
      <c r="C47" s="354"/>
      <c r="D47" s="355"/>
      <c r="E47" s="356"/>
      <c r="F47" s="357"/>
      <c r="H47" s="353"/>
      <c r="I47" s="354"/>
      <c r="J47" s="354"/>
      <c r="K47" s="355"/>
      <c r="L47" s="356"/>
      <c r="M47" s="357"/>
    </row>
    <row r="48" spans="1:13" s="358" customFormat="1" ht="14.25">
      <c r="A48" s="353"/>
      <c r="B48" s="354"/>
      <c r="C48" s="354"/>
      <c r="D48" s="355"/>
      <c r="E48" s="356"/>
      <c r="F48" s="357"/>
      <c r="H48" s="353"/>
      <c r="I48" s="354"/>
      <c r="J48" s="354"/>
      <c r="K48" s="355"/>
      <c r="L48" s="356"/>
      <c r="M48" s="357"/>
    </row>
    <row r="49" spans="1:13" s="358" customFormat="1" ht="14.25">
      <c r="A49" s="353"/>
      <c r="B49" s="354"/>
      <c r="C49" s="354"/>
      <c r="D49" s="355"/>
      <c r="E49" s="356"/>
      <c r="F49" s="357"/>
      <c r="I49" s="354"/>
      <c r="J49" s="354"/>
      <c r="K49" s="355"/>
      <c r="L49" s="356"/>
      <c r="M49" s="357"/>
    </row>
    <row r="50" spans="1:13" s="358" customFormat="1" ht="14.25">
      <c r="A50" s="353"/>
      <c r="B50" s="354"/>
      <c r="C50" s="354"/>
      <c r="D50" s="355"/>
      <c r="E50" s="356"/>
      <c r="F50" s="357"/>
      <c r="I50" s="354"/>
      <c r="J50" s="354"/>
      <c r="K50" s="355"/>
      <c r="L50" s="356"/>
      <c r="M50" s="357"/>
    </row>
    <row r="51" spans="1:13" s="358" customFormat="1" ht="14.25">
      <c r="A51" s="353"/>
      <c r="B51" s="354"/>
      <c r="C51" s="354"/>
      <c r="D51" s="355"/>
      <c r="E51" s="356"/>
      <c r="F51" s="357"/>
      <c r="I51" s="354"/>
      <c r="J51" s="354"/>
      <c r="K51" s="355"/>
      <c r="L51" s="356"/>
      <c r="M51" s="357"/>
    </row>
    <row r="52" spans="1:13" ht="14.25">
      <c r="A52" s="353"/>
      <c r="B52" s="359"/>
      <c r="C52" s="359"/>
      <c r="D52" s="360"/>
      <c r="E52" s="356"/>
      <c r="F52" s="361"/>
      <c r="I52" s="359"/>
      <c r="J52" s="359"/>
      <c r="K52" s="360"/>
      <c r="L52" s="356"/>
      <c r="M52" s="361"/>
    </row>
    <row r="53" spans="2:13" ht="15">
      <c r="B53" s="359"/>
      <c r="C53" s="359"/>
      <c r="D53" s="360"/>
      <c r="E53" s="362"/>
      <c r="F53" s="361"/>
      <c r="I53" s="359"/>
      <c r="J53" s="359"/>
      <c r="K53" s="360"/>
      <c r="L53" s="362"/>
      <c r="M53" s="361"/>
    </row>
    <row r="54" spans="1:13" ht="14.25">
      <c r="A54" s="363" t="s">
        <v>290</v>
      </c>
      <c r="B54" s="364"/>
      <c r="C54" s="364"/>
      <c r="D54" s="364"/>
      <c r="E54" s="365"/>
      <c r="F54" s="366"/>
      <c r="L54" s="365"/>
      <c r="M54" s="366"/>
    </row>
    <row r="55" spans="2:13" ht="14.25">
      <c r="B55" s="359"/>
      <c r="C55" s="367"/>
      <c r="D55" s="360"/>
      <c r="E55" s="368"/>
      <c r="F55" s="361"/>
      <c r="I55" s="359"/>
      <c r="J55" s="367"/>
      <c r="K55" s="360"/>
      <c r="L55" s="368"/>
      <c r="M55" s="361"/>
    </row>
    <row r="56" spans="2:13" ht="14.25">
      <c r="B56" s="359"/>
      <c r="C56" s="367"/>
      <c r="D56" s="360"/>
      <c r="E56" s="368"/>
      <c r="F56" s="369"/>
      <c r="I56" s="368"/>
      <c r="J56" s="368"/>
      <c r="L56" s="368"/>
      <c r="M56" s="369"/>
    </row>
    <row r="57" spans="2:13" ht="14.25">
      <c r="B57" s="359"/>
      <c r="C57" s="367"/>
      <c r="D57" s="360"/>
      <c r="E57" s="368"/>
      <c r="F57" s="369"/>
      <c r="H57" s="363" t="s">
        <v>290</v>
      </c>
      <c r="I57" s="368"/>
      <c r="J57" s="368"/>
      <c r="L57" s="368"/>
      <c r="M57" s="369"/>
    </row>
    <row r="58" spans="2:13" ht="14.25">
      <c r="B58" s="359"/>
      <c r="C58" s="367"/>
      <c r="D58" s="360"/>
      <c r="E58" s="368"/>
      <c r="F58" s="369"/>
      <c r="I58" s="359"/>
      <c r="J58" s="367"/>
      <c r="K58" s="360"/>
      <c r="L58" s="368"/>
      <c r="M58" s="369"/>
    </row>
    <row r="59" spans="2:13" ht="14.25">
      <c r="B59" s="359"/>
      <c r="C59" s="367"/>
      <c r="D59" s="360"/>
      <c r="E59" s="368"/>
      <c r="F59" s="369"/>
      <c r="I59" s="359"/>
      <c r="J59" s="367"/>
      <c r="K59" s="360"/>
      <c r="L59" s="368"/>
      <c r="M59" s="369"/>
    </row>
    <row r="60" spans="2:13" ht="14.25">
      <c r="B60" s="359"/>
      <c r="C60" s="367"/>
      <c r="D60" s="360"/>
      <c r="E60" s="368"/>
      <c r="F60" s="369"/>
      <c r="I60" s="359"/>
      <c r="J60" s="367"/>
      <c r="K60" s="360"/>
      <c r="L60" s="368"/>
      <c r="M60" s="369"/>
    </row>
    <row r="61" spans="2:13" ht="14.25">
      <c r="B61" s="368"/>
      <c r="C61" s="368"/>
      <c r="E61" s="368"/>
      <c r="F61" s="368"/>
      <c r="I61" s="368"/>
      <c r="J61" s="368"/>
      <c r="L61" s="368"/>
      <c r="M61" s="368"/>
    </row>
    <row r="62" spans="2:13" ht="14.25">
      <c r="B62" s="368"/>
      <c r="C62" s="368"/>
      <c r="E62" s="368"/>
      <c r="F62" s="368"/>
      <c r="I62" s="368"/>
      <c r="J62" s="368"/>
      <c r="L62" s="368"/>
      <c r="M62" s="368"/>
    </row>
    <row r="63" spans="2:13" ht="14.25">
      <c r="B63" s="368"/>
      <c r="C63" s="368"/>
      <c r="E63" s="368"/>
      <c r="F63" s="368"/>
      <c r="L63" s="368"/>
      <c r="M63" s="368"/>
    </row>
    <row r="64" spans="5:13" ht="14.25">
      <c r="E64" s="368"/>
      <c r="F64" s="368"/>
      <c r="H64" s="353"/>
      <c r="L64" s="368"/>
      <c r="M64" s="368"/>
    </row>
    <row r="65" spans="5:13" ht="14.25">
      <c r="E65" s="368"/>
      <c r="F65" s="368"/>
      <c r="H65" s="353"/>
      <c r="L65" s="368"/>
      <c r="M65" s="368"/>
    </row>
    <row r="66" spans="5:13" ht="14.25">
      <c r="E66" s="368"/>
      <c r="F66" s="368"/>
      <c r="H66" s="353"/>
      <c r="L66" s="368"/>
      <c r="M66" s="368"/>
    </row>
    <row r="67" spans="5:6" ht="14.25">
      <c r="E67" s="368"/>
      <c r="F67" s="368"/>
    </row>
    <row r="68" spans="5:6" ht="14.25">
      <c r="E68" s="368"/>
      <c r="F68" s="368"/>
    </row>
    <row r="69" spans="5:6" ht="14.25">
      <c r="E69" s="368"/>
      <c r="F69" s="368"/>
    </row>
    <row r="70" spans="5:6" ht="14.25">
      <c r="E70" s="368"/>
      <c r="F70" s="368"/>
    </row>
    <row r="71" spans="5:6" ht="14.25">
      <c r="E71" s="368"/>
      <c r="F71" s="368"/>
    </row>
    <row r="72" spans="5:8" ht="14.25">
      <c r="E72" s="368"/>
      <c r="F72" s="368"/>
      <c r="H72" s="268" t="s">
        <v>120</v>
      </c>
    </row>
    <row r="73" spans="5:8" ht="14.25">
      <c r="E73" s="368"/>
      <c r="F73" s="368"/>
      <c r="H73" s="268" t="s">
        <v>43</v>
      </c>
    </row>
    <row r="74" spans="5:6" ht="14.25">
      <c r="E74" s="368"/>
      <c r="F74" s="368"/>
    </row>
    <row r="75" spans="5:6" ht="14.25">
      <c r="E75" s="368"/>
      <c r="F75" s="368"/>
    </row>
    <row r="76" spans="5:6" ht="14.25">
      <c r="E76" s="368"/>
      <c r="F76" s="368"/>
    </row>
    <row r="77" spans="5:6" ht="14.25">
      <c r="E77" s="368"/>
      <c r="F77" s="368"/>
    </row>
    <row r="78" spans="1:6" ht="14.25">
      <c r="A78" s="268" t="s">
        <v>120</v>
      </c>
      <c r="E78" s="368"/>
      <c r="F78" s="368"/>
    </row>
    <row r="79" spans="1:6" ht="14.25">
      <c r="A79" s="268" t="s">
        <v>43</v>
      </c>
      <c r="E79" s="368"/>
      <c r="F79" s="368"/>
    </row>
    <row r="80" spans="5:6" ht="14.25">
      <c r="E80" s="368"/>
      <c r="F80" s="368"/>
    </row>
    <row r="81" spans="5:6" ht="14.25">
      <c r="E81" s="368"/>
      <c r="F81" s="368"/>
    </row>
    <row r="82" spans="5:6" ht="14.25">
      <c r="E82" s="368"/>
      <c r="F82" s="368"/>
    </row>
    <row r="83" spans="5:6" ht="14.25">
      <c r="E83" s="368"/>
      <c r="F83" s="368"/>
    </row>
    <row r="84" spans="5:6" ht="14.25">
      <c r="E84" s="368"/>
      <c r="F84" s="368"/>
    </row>
    <row r="85" spans="5:6" ht="14.25">
      <c r="E85" s="368"/>
      <c r="F85" s="368"/>
    </row>
    <row r="86" spans="5:6" ht="14.25">
      <c r="E86" s="368"/>
      <c r="F86" s="368"/>
    </row>
    <row r="87" spans="5:6" ht="14.25">
      <c r="E87" s="368"/>
      <c r="F87" s="368"/>
    </row>
    <row r="88" spans="5:6" ht="14.25">
      <c r="E88" s="368"/>
      <c r="F88" s="368"/>
    </row>
    <row r="89" spans="5:6" ht="14.25">
      <c r="E89" s="368"/>
      <c r="F89" s="368"/>
    </row>
    <row r="90" spans="5:6" ht="14.25">
      <c r="E90" s="368"/>
      <c r="F90" s="368"/>
    </row>
    <row r="91" spans="5:6" ht="14.25">
      <c r="E91" s="368"/>
      <c r="F91" s="368"/>
    </row>
    <row r="92" spans="5:6" ht="14.25">
      <c r="E92" s="368"/>
      <c r="F92" s="368"/>
    </row>
    <row r="93" spans="5:6" ht="14.25">
      <c r="E93" s="368"/>
      <c r="F93" s="368"/>
    </row>
    <row r="94" spans="5:6" ht="14.25">
      <c r="E94" s="368"/>
      <c r="F94" s="368"/>
    </row>
    <row r="95" spans="5:6" ht="14.25">
      <c r="E95" s="368"/>
      <c r="F95" s="368"/>
    </row>
    <row r="96" spans="5:6" ht="14.25">
      <c r="E96" s="368"/>
      <c r="F96" s="368"/>
    </row>
    <row r="97" spans="5:6" ht="14.25">
      <c r="E97" s="368"/>
      <c r="F97" s="368"/>
    </row>
    <row r="98" spans="5:6" ht="14.25">
      <c r="E98" s="368"/>
      <c r="F98" s="368"/>
    </row>
    <row r="99" spans="5:6" ht="14.25">
      <c r="E99" s="368"/>
      <c r="F99" s="368"/>
    </row>
    <row r="100" spans="5:6" ht="14.25">
      <c r="E100" s="368"/>
      <c r="F100" s="368"/>
    </row>
    <row r="101" spans="5:6" ht="14.25">
      <c r="E101" s="368"/>
      <c r="F101" s="368"/>
    </row>
    <row r="102" spans="5:6" ht="14.25">
      <c r="E102" s="368"/>
      <c r="F102" s="368"/>
    </row>
    <row r="103" spans="5:6" ht="14.25">
      <c r="E103" s="368"/>
      <c r="F103" s="368"/>
    </row>
    <row r="104" spans="5:6" ht="14.25">
      <c r="E104" s="368"/>
      <c r="F104" s="368"/>
    </row>
    <row r="105" spans="5:6" ht="14.25">
      <c r="E105" s="368"/>
      <c r="F105" s="368"/>
    </row>
    <row r="106" spans="5:6" ht="14.25">
      <c r="E106" s="368"/>
      <c r="F106" s="368"/>
    </row>
    <row r="107" spans="5:6" ht="14.25">
      <c r="E107" s="368"/>
      <c r="F107" s="368"/>
    </row>
    <row r="108" spans="5:6" ht="14.25">
      <c r="E108" s="368"/>
      <c r="F108" s="368"/>
    </row>
    <row r="109" spans="5:6" ht="14.25">
      <c r="E109" s="368"/>
      <c r="F109" s="368"/>
    </row>
    <row r="110" spans="5:6" ht="14.25">
      <c r="E110" s="368"/>
      <c r="F110" s="368"/>
    </row>
    <row r="111" spans="5:6" ht="14.25">
      <c r="E111" s="368"/>
      <c r="F111" s="368"/>
    </row>
    <row r="112" spans="5:6" ht="14.25">
      <c r="E112" s="368"/>
      <c r="F112" s="368"/>
    </row>
    <row r="113" spans="5:6" ht="14.25">
      <c r="E113" s="368"/>
      <c r="F113" s="368"/>
    </row>
    <row r="114" spans="5:6" ht="14.25">
      <c r="E114" s="368"/>
      <c r="F114" s="368"/>
    </row>
    <row r="115" spans="5:6" ht="14.25">
      <c r="E115" s="368"/>
      <c r="F115" s="368"/>
    </row>
    <row r="116" spans="5:6" ht="14.25">
      <c r="E116" s="368"/>
      <c r="F116" s="368"/>
    </row>
    <row r="117" spans="5:6" ht="14.25">
      <c r="E117" s="368"/>
      <c r="F117" s="368"/>
    </row>
    <row r="118" spans="5:6" ht="14.25">
      <c r="E118" s="368"/>
      <c r="F118" s="368"/>
    </row>
    <row r="119" spans="5:6" ht="14.25">
      <c r="E119" s="368"/>
      <c r="F119" s="368"/>
    </row>
    <row r="120" spans="5:6" ht="14.25">
      <c r="E120" s="368"/>
      <c r="F120" s="368"/>
    </row>
    <row r="121" spans="5:6" ht="14.25">
      <c r="E121" s="368"/>
      <c r="F121" s="368"/>
    </row>
    <row r="122" spans="5:6" ht="14.25">
      <c r="E122" s="368"/>
      <c r="F122" s="368"/>
    </row>
    <row r="123" spans="5:6" ht="14.25">
      <c r="E123" s="368"/>
      <c r="F123" s="368"/>
    </row>
    <row r="124" spans="5:6" ht="14.25">
      <c r="E124" s="368"/>
      <c r="F124" s="368"/>
    </row>
    <row r="125" spans="5:6" ht="14.25">
      <c r="E125" s="368"/>
      <c r="F125" s="368"/>
    </row>
    <row r="126" spans="5:6" ht="14.25">
      <c r="E126" s="368"/>
      <c r="F126" s="368"/>
    </row>
    <row r="127" spans="5:6" ht="14.25">
      <c r="E127" s="368"/>
      <c r="F127" s="368"/>
    </row>
    <row r="128" spans="5:6" ht="14.25">
      <c r="E128" s="368"/>
      <c r="F128" s="368"/>
    </row>
    <row r="129" spans="5:6" ht="14.25">
      <c r="E129" s="368"/>
      <c r="F129" s="368"/>
    </row>
    <row r="130" spans="5:6" ht="14.25">
      <c r="E130" s="368"/>
      <c r="F130" s="368"/>
    </row>
    <row r="131" spans="5:6" ht="14.25">
      <c r="E131" s="368"/>
      <c r="F131" s="368"/>
    </row>
    <row r="132" spans="5:6" ht="14.25">
      <c r="E132" s="368"/>
      <c r="F132" s="368"/>
    </row>
    <row r="133" spans="5:6" ht="14.25">
      <c r="E133" s="368"/>
      <c r="F133" s="368"/>
    </row>
    <row r="134" spans="5:6" ht="14.25">
      <c r="E134" s="368"/>
      <c r="F134" s="368"/>
    </row>
    <row r="135" spans="5:6" ht="14.25">
      <c r="E135" s="368"/>
      <c r="F135" s="368"/>
    </row>
    <row r="136" spans="5:6" ht="14.25">
      <c r="E136" s="368"/>
      <c r="F136" s="368"/>
    </row>
    <row r="137" spans="5:6" ht="14.25">
      <c r="E137" s="368"/>
      <c r="F137" s="368"/>
    </row>
    <row r="138" spans="5:6" ht="14.25">
      <c r="E138" s="368"/>
      <c r="F138" s="368"/>
    </row>
    <row r="139" spans="5:6" ht="14.25">
      <c r="E139" s="368"/>
      <c r="F139" s="368"/>
    </row>
    <row r="140" spans="5:6" ht="14.25">
      <c r="E140" s="368"/>
      <c r="F140" s="368"/>
    </row>
    <row r="141" spans="5:6" ht="14.25">
      <c r="E141" s="368"/>
      <c r="F141" s="368"/>
    </row>
    <row r="142" spans="5:6" ht="14.25">
      <c r="E142" s="368"/>
      <c r="F142" s="368"/>
    </row>
    <row r="143" spans="5:6" ht="14.25">
      <c r="E143" s="368"/>
      <c r="F143" s="368"/>
    </row>
    <row r="144" spans="5:6" ht="14.25">
      <c r="E144" s="368"/>
      <c r="F144" s="368"/>
    </row>
    <row r="145" spans="5:6" ht="14.25">
      <c r="E145" s="368"/>
      <c r="F145" s="368"/>
    </row>
    <row r="146" spans="5:6" ht="14.25">
      <c r="E146" s="368"/>
      <c r="F146" s="368"/>
    </row>
    <row r="147" spans="5:6" ht="14.25">
      <c r="E147" s="368"/>
      <c r="F147" s="368"/>
    </row>
    <row r="148" spans="5:6" ht="14.25">
      <c r="E148" s="368"/>
      <c r="F148" s="368"/>
    </row>
    <row r="149" spans="5:6" ht="14.25">
      <c r="E149" s="368"/>
      <c r="F149" s="368"/>
    </row>
    <row r="150" spans="5:6" ht="14.25">
      <c r="E150" s="368"/>
      <c r="F150" s="368"/>
    </row>
    <row r="151" spans="5:6" ht="14.25">
      <c r="E151" s="368"/>
      <c r="F151" s="368"/>
    </row>
    <row r="152" spans="5:6" ht="14.25">
      <c r="E152" s="368"/>
      <c r="F152" s="368"/>
    </row>
    <row r="153" spans="5:6" ht="14.25">
      <c r="E153" s="368"/>
      <c r="F153" s="368"/>
    </row>
    <row r="154" spans="5:6" ht="14.25">
      <c r="E154" s="368"/>
      <c r="F154" s="368"/>
    </row>
    <row r="155" spans="5:6" ht="14.25">
      <c r="E155" s="368"/>
      <c r="F155" s="368"/>
    </row>
    <row r="156" spans="5:6" ht="14.25">
      <c r="E156" s="368"/>
      <c r="F156" s="368"/>
    </row>
    <row r="157" spans="5:6" ht="14.25">
      <c r="E157" s="368"/>
      <c r="F157" s="368"/>
    </row>
    <row r="158" spans="5:6" ht="14.25">
      <c r="E158" s="368"/>
      <c r="F158" s="368"/>
    </row>
    <row r="159" spans="5:6" ht="14.25">
      <c r="E159" s="368"/>
      <c r="F159" s="368"/>
    </row>
    <row r="160" spans="5:6" ht="14.25">
      <c r="E160" s="368"/>
      <c r="F160" s="368"/>
    </row>
    <row r="161" spans="5:6" ht="14.25">
      <c r="E161" s="368"/>
      <c r="F161" s="368"/>
    </row>
    <row r="162" spans="5:6" ht="14.25">
      <c r="E162" s="368"/>
      <c r="F162" s="368"/>
    </row>
    <row r="163" spans="5:6" ht="14.25">
      <c r="E163" s="368"/>
      <c r="F163" s="368"/>
    </row>
    <row r="164" spans="5:6" ht="14.25">
      <c r="E164" s="368"/>
      <c r="F164" s="368"/>
    </row>
    <row r="165" spans="5:6" ht="14.25">
      <c r="E165" s="368"/>
      <c r="F165" s="368"/>
    </row>
    <row r="166" spans="5:6" ht="14.25">
      <c r="E166" s="368"/>
      <c r="F166" s="368"/>
    </row>
    <row r="167" spans="5:6" ht="14.25">
      <c r="E167" s="368"/>
      <c r="F167" s="368"/>
    </row>
    <row r="168" spans="5:6" ht="14.25">
      <c r="E168" s="368"/>
      <c r="F168" s="368"/>
    </row>
    <row r="169" spans="5:6" ht="14.25">
      <c r="E169" s="368"/>
      <c r="F169" s="368"/>
    </row>
    <row r="170" spans="5:6" ht="14.25">
      <c r="E170" s="368"/>
      <c r="F170" s="368"/>
    </row>
    <row r="171" spans="5:6" ht="14.25">
      <c r="E171" s="368"/>
      <c r="F171" s="368"/>
    </row>
    <row r="172" spans="5:6" ht="14.25">
      <c r="E172" s="368"/>
      <c r="F172" s="368"/>
    </row>
    <row r="173" spans="5:6" ht="14.25">
      <c r="E173" s="368"/>
      <c r="F173" s="368"/>
    </row>
    <row r="174" spans="5:6" ht="14.25">
      <c r="E174" s="368"/>
      <c r="F174" s="368"/>
    </row>
    <row r="175" spans="5:6" ht="14.25">
      <c r="E175" s="368"/>
      <c r="F175" s="368"/>
    </row>
    <row r="176" spans="5:6" ht="14.25">
      <c r="E176" s="368"/>
      <c r="F176" s="368"/>
    </row>
    <row r="177" spans="5:6" ht="14.25">
      <c r="E177" s="368"/>
      <c r="F177" s="368"/>
    </row>
    <row r="178" spans="5:6" ht="14.25">
      <c r="E178" s="368"/>
      <c r="F178" s="368"/>
    </row>
    <row r="179" spans="5:6" ht="14.25">
      <c r="E179" s="368"/>
      <c r="F179" s="368"/>
    </row>
    <row r="180" spans="5:6" ht="14.25">
      <c r="E180" s="368"/>
      <c r="F180" s="368"/>
    </row>
    <row r="181" spans="5:6" ht="14.25">
      <c r="E181" s="368"/>
      <c r="F181" s="368"/>
    </row>
    <row r="182" spans="5:6" ht="14.25">
      <c r="E182" s="368"/>
      <c r="F182" s="368"/>
    </row>
    <row r="183" spans="5:6" ht="14.25">
      <c r="E183" s="368"/>
      <c r="F183" s="368"/>
    </row>
    <row r="184" spans="5:6" ht="14.25">
      <c r="E184" s="368"/>
      <c r="F184" s="368"/>
    </row>
    <row r="185" spans="5:6" ht="14.25">
      <c r="E185" s="368"/>
      <c r="F185" s="368"/>
    </row>
    <row r="186" spans="5:6" ht="14.25">
      <c r="E186" s="368"/>
      <c r="F186" s="368"/>
    </row>
    <row r="187" spans="5:6" ht="14.25">
      <c r="E187" s="368"/>
      <c r="F187" s="368"/>
    </row>
    <row r="188" spans="5:6" ht="14.25">
      <c r="E188" s="368"/>
      <c r="F188" s="368"/>
    </row>
    <row r="189" spans="5:6" ht="14.25">
      <c r="E189" s="368"/>
      <c r="F189" s="368"/>
    </row>
    <row r="190" spans="5:6" ht="14.25">
      <c r="E190" s="368"/>
      <c r="F190" s="368"/>
    </row>
    <row r="191" spans="5:6" ht="14.25">
      <c r="E191" s="368"/>
      <c r="F191" s="368"/>
    </row>
    <row r="192" spans="5:6" ht="14.25">
      <c r="E192" s="368"/>
      <c r="F192" s="368"/>
    </row>
    <row r="193" spans="5:6" ht="14.25">
      <c r="E193" s="368"/>
      <c r="F193" s="368"/>
    </row>
    <row r="194" spans="5:6" ht="14.25">
      <c r="E194" s="368"/>
      <c r="F194" s="368"/>
    </row>
    <row r="195" spans="5:6" ht="14.25">
      <c r="E195" s="368"/>
      <c r="F195" s="368"/>
    </row>
    <row r="196" spans="5:6" ht="14.25">
      <c r="E196" s="368"/>
      <c r="F196" s="368"/>
    </row>
    <row r="197" spans="5:6" ht="14.25">
      <c r="E197" s="368"/>
      <c r="F197" s="368"/>
    </row>
    <row r="198" spans="5:6" ht="14.25">
      <c r="E198" s="368"/>
      <c r="F198" s="368"/>
    </row>
    <row r="199" spans="5:6" ht="14.25">
      <c r="E199" s="368"/>
      <c r="F199" s="368"/>
    </row>
    <row r="200" spans="5:6" ht="14.25">
      <c r="E200" s="368"/>
      <c r="F200" s="368"/>
    </row>
    <row r="201" spans="5:6" ht="14.25">
      <c r="E201" s="368"/>
      <c r="F201" s="368"/>
    </row>
    <row r="202" spans="5:6" ht="14.25">
      <c r="E202" s="368"/>
      <c r="F202" s="368"/>
    </row>
    <row r="203" spans="5:6" ht="14.25">
      <c r="E203" s="368"/>
      <c r="F203" s="368"/>
    </row>
    <row r="204" spans="5:6" ht="14.25">
      <c r="E204" s="368"/>
      <c r="F204" s="368"/>
    </row>
    <row r="205" spans="5:6" ht="14.25">
      <c r="E205" s="368"/>
      <c r="F205" s="368"/>
    </row>
    <row r="206" spans="5:6" ht="14.25">
      <c r="E206" s="368"/>
      <c r="F206" s="368"/>
    </row>
    <row r="207" spans="5:6" ht="14.25">
      <c r="E207" s="368"/>
      <c r="F207" s="368"/>
    </row>
    <row r="208" spans="5:6" ht="14.25">
      <c r="E208" s="368"/>
      <c r="F208" s="368"/>
    </row>
    <row r="209" spans="5:6" ht="14.25">
      <c r="E209" s="368"/>
      <c r="F209" s="368"/>
    </row>
    <row r="210" spans="5:6" ht="14.25">
      <c r="E210" s="368"/>
      <c r="F210" s="368"/>
    </row>
    <row r="211" spans="5:6" ht="14.25">
      <c r="E211" s="368"/>
      <c r="F211" s="368"/>
    </row>
    <row r="212" spans="5:6" ht="14.25">
      <c r="E212" s="368"/>
      <c r="F212" s="368"/>
    </row>
    <row r="213" spans="5:6" ht="14.25">
      <c r="E213" s="368"/>
      <c r="F213" s="368"/>
    </row>
    <row r="214" spans="5:6" ht="14.25">
      <c r="E214" s="368"/>
      <c r="F214" s="368"/>
    </row>
    <row r="215" spans="5:6" ht="14.25">
      <c r="E215" s="368"/>
      <c r="F215" s="368"/>
    </row>
    <row r="216" spans="5:6" ht="14.25">
      <c r="E216" s="368"/>
      <c r="F216" s="368"/>
    </row>
    <row r="217" spans="5:6" ht="14.25">
      <c r="E217" s="368"/>
      <c r="F217" s="368"/>
    </row>
    <row r="218" spans="5:6" ht="14.25">
      <c r="E218" s="368"/>
      <c r="F218" s="368"/>
    </row>
    <row r="219" spans="5:6" ht="14.25">
      <c r="E219" s="368"/>
      <c r="F219" s="368"/>
    </row>
    <row r="220" spans="5:6" ht="14.25">
      <c r="E220" s="368"/>
      <c r="F220" s="368"/>
    </row>
    <row r="221" spans="5:6" ht="14.25">
      <c r="E221" s="368"/>
      <c r="F221" s="368"/>
    </row>
    <row r="222" spans="5:6" ht="14.25">
      <c r="E222" s="368"/>
      <c r="F222" s="368"/>
    </row>
    <row r="223" spans="5:6" ht="14.25">
      <c r="E223" s="368"/>
      <c r="F223" s="368"/>
    </row>
    <row r="224" spans="5:6" ht="14.25">
      <c r="E224" s="368"/>
      <c r="F224" s="368"/>
    </row>
    <row r="225" spans="5:6" ht="14.25">
      <c r="E225" s="368"/>
      <c r="F225" s="368"/>
    </row>
    <row r="226" spans="5:6" ht="14.25">
      <c r="E226" s="368"/>
      <c r="F226" s="368"/>
    </row>
    <row r="227" spans="5:6" ht="14.25">
      <c r="E227" s="368"/>
      <c r="F227" s="368"/>
    </row>
    <row r="228" spans="5:6" ht="14.25">
      <c r="E228" s="368"/>
      <c r="F228" s="368"/>
    </row>
    <row r="229" spans="5:6" ht="14.25">
      <c r="E229" s="368"/>
      <c r="F229" s="368"/>
    </row>
    <row r="230" spans="5:6" ht="14.25">
      <c r="E230" s="368"/>
      <c r="F230" s="368"/>
    </row>
    <row r="231" spans="5:6" ht="14.25">
      <c r="E231" s="368"/>
      <c r="F231" s="368"/>
    </row>
    <row r="232" spans="5:6" ht="14.25">
      <c r="E232" s="368"/>
      <c r="F232" s="368"/>
    </row>
    <row r="233" spans="5:6" ht="14.25">
      <c r="E233" s="368"/>
      <c r="F233" s="368"/>
    </row>
    <row r="234" spans="5:6" ht="14.25">
      <c r="E234" s="368"/>
      <c r="F234" s="368"/>
    </row>
    <row r="235" spans="5:6" ht="14.25">
      <c r="E235" s="368"/>
      <c r="F235" s="368"/>
    </row>
    <row r="236" spans="5:6" ht="14.25">
      <c r="E236" s="368"/>
      <c r="F236" s="368"/>
    </row>
    <row r="237" spans="5:6" ht="14.25">
      <c r="E237" s="368"/>
      <c r="F237" s="368"/>
    </row>
    <row r="238" spans="5:6" ht="14.25">
      <c r="E238" s="368"/>
      <c r="F238" s="368"/>
    </row>
    <row r="239" spans="5:6" ht="14.25">
      <c r="E239" s="368"/>
      <c r="F239" s="368"/>
    </row>
    <row r="240" spans="5:6" ht="14.25">
      <c r="E240" s="368"/>
      <c r="F240" s="368"/>
    </row>
    <row r="241" spans="5:6" ht="14.25">
      <c r="E241" s="368"/>
      <c r="F241" s="368"/>
    </row>
    <row r="242" spans="5:6" ht="14.25">
      <c r="E242" s="368"/>
      <c r="F242" s="368"/>
    </row>
    <row r="243" spans="5:6" ht="14.25">
      <c r="E243" s="368"/>
      <c r="F243" s="368"/>
    </row>
    <row r="244" spans="5:6" ht="14.25">
      <c r="E244" s="368"/>
      <c r="F244" s="368"/>
    </row>
    <row r="245" spans="5:6" ht="14.25">
      <c r="E245" s="368"/>
      <c r="F245" s="368"/>
    </row>
    <row r="246" spans="5:6" ht="14.25">
      <c r="E246" s="368"/>
      <c r="F246" s="368"/>
    </row>
    <row r="247" spans="5:6" ht="14.25">
      <c r="E247" s="368"/>
      <c r="F247" s="368"/>
    </row>
    <row r="248" spans="5:6" ht="14.25">
      <c r="E248" s="368"/>
      <c r="F248" s="368"/>
    </row>
    <row r="249" spans="5:6" ht="14.25">
      <c r="E249" s="368"/>
      <c r="F249" s="368"/>
    </row>
    <row r="250" spans="5:6" ht="14.25">
      <c r="E250" s="368"/>
      <c r="F250" s="368"/>
    </row>
    <row r="251" spans="5:6" ht="14.25">
      <c r="E251" s="368"/>
      <c r="F251" s="368"/>
    </row>
    <row r="252" spans="5:6" ht="14.25">
      <c r="E252" s="368"/>
      <c r="F252" s="368"/>
    </row>
    <row r="253" spans="5:6" ht="14.25">
      <c r="E253" s="368"/>
      <c r="F253" s="368"/>
    </row>
    <row r="254" spans="5:6" ht="14.25">
      <c r="E254" s="368"/>
      <c r="F254" s="368"/>
    </row>
    <row r="255" spans="5:6" ht="14.25">
      <c r="E255" s="368"/>
      <c r="F255" s="368"/>
    </row>
    <row r="256" spans="5:6" ht="14.25">
      <c r="E256" s="368"/>
      <c r="F256" s="368"/>
    </row>
    <row r="257" spans="5:6" ht="14.25">
      <c r="E257" s="368"/>
      <c r="F257" s="368"/>
    </row>
    <row r="258" spans="5:6" ht="14.25">
      <c r="E258" s="368"/>
      <c r="F258" s="368"/>
    </row>
    <row r="259" spans="5:6" ht="14.25">
      <c r="E259" s="368"/>
      <c r="F259" s="368"/>
    </row>
    <row r="260" spans="5:6" ht="14.25">
      <c r="E260" s="368"/>
      <c r="F260" s="368"/>
    </row>
    <row r="261" spans="5:6" ht="14.25">
      <c r="E261" s="368"/>
      <c r="F261" s="368"/>
    </row>
    <row r="262" spans="5:6" ht="14.25">
      <c r="E262" s="368"/>
      <c r="F262" s="368"/>
    </row>
    <row r="263" spans="5:6" ht="14.25">
      <c r="E263" s="368"/>
      <c r="F263" s="368"/>
    </row>
    <row r="264" spans="5:6" ht="14.25">
      <c r="E264" s="368"/>
      <c r="F264" s="368"/>
    </row>
    <row r="265" spans="5:6" ht="14.25">
      <c r="E265" s="368"/>
      <c r="F265" s="368"/>
    </row>
    <row r="266" spans="5:6" ht="14.25">
      <c r="E266" s="368"/>
      <c r="F266" s="368"/>
    </row>
    <row r="267" spans="5:6" ht="14.25">
      <c r="E267" s="368"/>
      <c r="F267" s="368"/>
    </row>
    <row r="268" spans="5:6" ht="14.25">
      <c r="E268" s="368"/>
      <c r="F268" s="368"/>
    </row>
    <row r="269" spans="5:6" ht="14.25">
      <c r="E269" s="368"/>
      <c r="F269" s="368"/>
    </row>
    <row r="270" spans="5:6" ht="14.25">
      <c r="E270" s="368"/>
      <c r="F270" s="368"/>
    </row>
    <row r="271" spans="5:6" ht="14.25">
      <c r="E271" s="368"/>
      <c r="F271" s="368"/>
    </row>
    <row r="272" spans="5:6" ht="14.25">
      <c r="E272" s="368"/>
      <c r="F272" s="368"/>
    </row>
    <row r="273" spans="5:6" ht="14.25">
      <c r="E273" s="368"/>
      <c r="F273" s="368"/>
    </row>
    <row r="274" spans="5:6" ht="14.25">
      <c r="E274" s="368"/>
      <c r="F274" s="368"/>
    </row>
    <row r="275" spans="5:6" ht="14.25">
      <c r="E275" s="368"/>
      <c r="F275" s="368"/>
    </row>
    <row r="276" spans="5:6" ht="14.25">
      <c r="E276" s="368"/>
      <c r="F276" s="368"/>
    </row>
    <row r="277" spans="5:6" ht="14.25">
      <c r="E277" s="368"/>
      <c r="F277" s="368"/>
    </row>
    <row r="278" spans="5:6" ht="14.25">
      <c r="E278" s="368"/>
      <c r="F278" s="368"/>
    </row>
    <row r="279" spans="5:6" ht="14.25">
      <c r="E279" s="368"/>
      <c r="F279" s="368"/>
    </row>
    <row r="280" spans="5:6" ht="14.25">
      <c r="E280" s="368"/>
      <c r="F280" s="368"/>
    </row>
    <row r="281" spans="5:6" ht="14.25">
      <c r="E281" s="368"/>
      <c r="F281" s="368"/>
    </row>
    <row r="282" spans="5:6" ht="14.25">
      <c r="E282" s="368"/>
      <c r="F282" s="368"/>
    </row>
    <row r="283" spans="5:6" ht="14.25">
      <c r="E283" s="368"/>
      <c r="F283" s="368"/>
    </row>
    <row r="284" spans="5:6" ht="14.25">
      <c r="E284" s="368"/>
      <c r="F284" s="368"/>
    </row>
    <row r="285" spans="5:6" ht="14.25">
      <c r="E285" s="368"/>
      <c r="F285" s="368"/>
    </row>
    <row r="286" spans="5:6" ht="14.25">
      <c r="E286" s="368"/>
      <c r="F286" s="368"/>
    </row>
    <row r="287" spans="5:6" ht="14.25">
      <c r="E287" s="368"/>
      <c r="F287" s="368"/>
    </row>
    <row r="288" spans="5:6" ht="14.25">
      <c r="E288" s="368"/>
      <c r="F288" s="368"/>
    </row>
    <row r="289" spans="5:6" ht="14.25">
      <c r="E289" s="368"/>
      <c r="F289" s="368"/>
    </row>
    <row r="290" spans="5:6" ht="14.25">
      <c r="E290" s="368"/>
      <c r="F290" s="368"/>
    </row>
    <row r="291" spans="5:6" ht="14.25">
      <c r="E291" s="368"/>
      <c r="F291" s="368"/>
    </row>
    <row r="292" spans="5:6" ht="14.25">
      <c r="E292" s="368"/>
      <c r="F292" s="368"/>
    </row>
    <row r="293" spans="5:6" ht="14.25">
      <c r="E293" s="368"/>
      <c r="F293" s="368"/>
    </row>
    <row r="294" spans="5:6" ht="14.25">
      <c r="E294" s="368"/>
      <c r="F294" s="368"/>
    </row>
    <row r="295" spans="5:6" ht="14.25">
      <c r="E295" s="368"/>
      <c r="F295" s="368"/>
    </row>
    <row r="296" spans="5:6" ht="14.25">
      <c r="E296" s="368"/>
      <c r="F296" s="368"/>
    </row>
    <row r="297" spans="5:6" ht="14.25">
      <c r="E297" s="368"/>
      <c r="F297" s="368"/>
    </row>
    <row r="298" spans="5:6" ht="14.25">
      <c r="E298" s="368"/>
      <c r="F298" s="368"/>
    </row>
    <row r="299" spans="5:6" ht="14.25">
      <c r="E299" s="368"/>
      <c r="F299" s="368"/>
    </row>
    <row r="300" spans="5:6" ht="14.25">
      <c r="E300" s="368"/>
      <c r="F300" s="368"/>
    </row>
    <row r="301" spans="5:6" ht="14.25">
      <c r="E301" s="368"/>
      <c r="F301" s="368"/>
    </row>
    <row r="302" spans="5:6" ht="14.25">
      <c r="E302" s="368"/>
      <c r="F302" s="368"/>
    </row>
    <row r="303" spans="5:6" ht="14.25">
      <c r="E303" s="368"/>
      <c r="F303" s="368"/>
    </row>
    <row r="304" spans="5:6" ht="14.25">
      <c r="E304" s="368"/>
      <c r="F304" s="368"/>
    </row>
    <row r="305" spans="5:6" ht="14.25">
      <c r="E305" s="368"/>
      <c r="F305" s="368"/>
    </row>
    <row r="306" spans="5:6" ht="14.25">
      <c r="E306" s="368"/>
      <c r="F306" s="368"/>
    </row>
    <row r="307" spans="5:6" ht="14.25">
      <c r="E307" s="368"/>
      <c r="F307" s="368"/>
    </row>
    <row r="308" spans="5:6" ht="14.25">
      <c r="E308" s="368"/>
      <c r="F308" s="368"/>
    </row>
    <row r="309" spans="5:6" ht="14.25">
      <c r="E309" s="368"/>
      <c r="F309" s="368"/>
    </row>
    <row r="310" spans="5:6" ht="14.25">
      <c r="E310" s="368"/>
      <c r="F310" s="368"/>
    </row>
    <row r="311" spans="5:6" ht="14.25">
      <c r="E311" s="368"/>
      <c r="F311" s="368"/>
    </row>
    <row r="312" spans="5:6" ht="14.25">
      <c r="E312" s="368"/>
      <c r="F312" s="368"/>
    </row>
    <row r="313" spans="5:6" ht="14.25">
      <c r="E313" s="368"/>
      <c r="F313" s="368"/>
    </row>
    <row r="314" spans="5:6" ht="14.25">
      <c r="E314" s="368"/>
      <c r="F314" s="368"/>
    </row>
    <row r="315" spans="5:6" ht="14.25">
      <c r="E315" s="368"/>
      <c r="F315" s="368"/>
    </row>
    <row r="316" spans="5:6" ht="14.25">
      <c r="E316" s="368"/>
      <c r="F316" s="368"/>
    </row>
    <row r="317" spans="5:6" ht="14.25">
      <c r="E317" s="368"/>
      <c r="F317" s="368"/>
    </row>
  </sheetData>
  <printOptions/>
  <pageMargins left="0.75" right="0.17" top="1" bottom="1" header="0.5" footer="0.5"/>
  <pageSetup fitToHeight="2" fitToWidth="2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F37">
      <selection activeCell="F41" sqref="F41"/>
    </sheetView>
  </sheetViews>
  <sheetFormatPr defaultColWidth="9.140625" defaultRowHeight="12.75"/>
  <cols>
    <col min="1" max="1" width="36.140625" style="264" hidden="1" customWidth="1"/>
    <col min="2" max="2" width="12.57421875" style="264" hidden="1" customWidth="1"/>
    <col min="3" max="3" width="12.7109375" style="264" hidden="1" customWidth="1"/>
    <col min="4" max="4" width="2.28125" style="264" hidden="1" customWidth="1"/>
    <col min="5" max="5" width="3.140625" style="264" hidden="1" customWidth="1"/>
    <col min="6" max="6" width="42.7109375" style="264" customWidth="1"/>
    <col min="7" max="7" width="13.28125" style="264" customWidth="1"/>
    <col min="8" max="8" width="9.7109375" style="264" customWidth="1"/>
    <col min="9" max="9" width="12.140625" style="264" customWidth="1"/>
    <col min="10" max="10" width="12.00390625" style="264" customWidth="1"/>
    <col min="11" max="16384" width="9.140625" style="264" customWidth="1"/>
  </cols>
  <sheetData>
    <row r="1" spans="1:10" ht="17.25" customHeight="1">
      <c r="A1" s="32" t="s">
        <v>392</v>
      </c>
      <c r="B1" s="32"/>
      <c r="C1" s="32"/>
      <c r="D1" s="32"/>
      <c r="E1" s="264" t="s">
        <v>393</v>
      </c>
      <c r="F1" s="264" t="s">
        <v>394</v>
      </c>
      <c r="G1" s="32"/>
      <c r="H1" s="32"/>
      <c r="I1" s="32"/>
      <c r="J1" s="370" t="s">
        <v>393</v>
      </c>
    </row>
    <row r="2" ht="1.5" customHeight="1" hidden="1"/>
    <row r="3" ht="15.75" customHeight="1"/>
    <row r="4" spans="1:10" ht="15.75">
      <c r="A4" s="155" t="s">
        <v>395</v>
      </c>
      <c r="B4" s="155"/>
      <c r="C4" s="155"/>
      <c r="D4" s="155"/>
      <c r="E4" s="155"/>
      <c r="F4" s="155" t="s">
        <v>395</v>
      </c>
      <c r="G4" s="155"/>
      <c r="H4" s="155"/>
      <c r="I4" s="155"/>
      <c r="J4" s="155"/>
    </row>
    <row r="5" spans="1:10" ht="19.5" customHeight="1">
      <c r="A5" s="371" t="s">
        <v>396</v>
      </c>
      <c r="B5" s="371"/>
      <c r="C5" s="371"/>
      <c r="D5" s="371"/>
      <c r="E5" s="371"/>
      <c r="F5" s="371" t="s">
        <v>396</v>
      </c>
      <c r="G5" s="371"/>
      <c r="H5" s="371"/>
      <c r="I5" s="371"/>
      <c r="J5" s="371"/>
    </row>
    <row r="6" spans="5:10" ht="17.25" customHeight="1">
      <c r="E6" s="264" t="s">
        <v>296</v>
      </c>
      <c r="J6" s="370" t="s">
        <v>48</v>
      </c>
    </row>
    <row r="7" spans="1:10" ht="53.25" customHeight="1">
      <c r="A7" s="263" t="s">
        <v>2</v>
      </c>
      <c r="B7" s="263" t="s">
        <v>229</v>
      </c>
      <c r="C7" s="85" t="s">
        <v>50</v>
      </c>
      <c r="D7" s="85" t="s">
        <v>397</v>
      </c>
      <c r="E7" s="85" t="s">
        <v>234</v>
      </c>
      <c r="F7" s="263" t="s">
        <v>2</v>
      </c>
      <c r="G7" s="263" t="s">
        <v>179</v>
      </c>
      <c r="H7" s="85" t="s">
        <v>50</v>
      </c>
      <c r="I7" s="85" t="s">
        <v>397</v>
      </c>
      <c r="J7" s="85" t="s">
        <v>234</v>
      </c>
    </row>
    <row r="8" spans="1:10" ht="12.75">
      <c r="A8" s="263">
        <v>1</v>
      </c>
      <c r="B8" s="263">
        <v>2</v>
      </c>
      <c r="C8" s="263">
        <v>3</v>
      </c>
      <c r="D8" s="263">
        <v>4</v>
      </c>
      <c r="E8" s="372">
        <v>5</v>
      </c>
      <c r="F8" s="263">
        <v>1</v>
      </c>
      <c r="G8" s="263">
        <v>2</v>
      </c>
      <c r="H8" s="263">
        <v>3</v>
      </c>
      <c r="I8" s="263">
        <v>4</v>
      </c>
      <c r="J8" s="263">
        <v>5</v>
      </c>
    </row>
    <row r="9" spans="1:10" ht="25.5">
      <c r="A9" s="91" t="s">
        <v>398</v>
      </c>
      <c r="B9" s="373">
        <f>1075297+937373</f>
        <v>2012670</v>
      </c>
      <c r="C9" s="373">
        <f>SUM(C10:C11)</f>
        <v>1865076</v>
      </c>
      <c r="D9" s="192">
        <f>IF(ISERROR(C9/B9)," ",(C9/B9))</f>
        <v>0.9266675610010583</v>
      </c>
      <c r="E9" s="374">
        <f>SUM(E10:E11)</f>
        <v>514606</v>
      </c>
      <c r="F9" s="91" t="s">
        <v>398</v>
      </c>
      <c r="G9" s="373">
        <f>ROUND(B9/1000,0)</f>
        <v>2013</v>
      </c>
      <c r="H9" s="375">
        <f>SUM(H10:H11)</f>
        <v>1865</v>
      </c>
      <c r="I9" s="52">
        <f aca="true" t="shared" si="0" ref="I9:I15">IF(ISERROR(H9/G9)," ",(H9/G9))</f>
        <v>0.9264778936910084</v>
      </c>
      <c r="J9" s="373">
        <f>SUM(J10:J11)</f>
        <v>514</v>
      </c>
    </row>
    <row r="10" spans="1:10" ht="25.5">
      <c r="A10" s="63" t="s">
        <v>399</v>
      </c>
      <c r="B10" s="219" t="s">
        <v>9</v>
      </c>
      <c r="C10" s="376">
        <v>1247689</v>
      </c>
      <c r="D10" s="377" t="str">
        <f aca="true" t="shared" si="1" ref="D10:D17">IF(ISERROR(C10/B10)," ",(C10/B10))</f>
        <v> </v>
      </c>
      <c r="E10" s="378">
        <f>C10-'[8]Marts'!C10</f>
        <v>341057</v>
      </c>
      <c r="F10" s="63" t="s">
        <v>399</v>
      </c>
      <c r="G10" s="263" t="s">
        <v>9</v>
      </c>
      <c r="H10" s="376">
        <f>ROUND(C10/1000,0)</f>
        <v>1248</v>
      </c>
      <c r="I10" s="52" t="str">
        <f t="shared" si="0"/>
        <v> </v>
      </c>
      <c r="J10" s="376">
        <f>H10-'[8]Marts'!H10</f>
        <v>341</v>
      </c>
    </row>
    <row r="11" spans="1:10" ht="26.25" customHeight="1">
      <c r="A11" s="63" t="s">
        <v>400</v>
      </c>
      <c r="B11" s="219" t="s">
        <v>9</v>
      </c>
      <c r="C11" s="376">
        <v>617387</v>
      </c>
      <c r="D11" s="377" t="str">
        <f t="shared" si="1"/>
        <v> </v>
      </c>
      <c r="E11" s="378">
        <f>C11-'[8]Marts'!C11</f>
        <v>173549</v>
      </c>
      <c r="F11" s="63" t="s">
        <v>401</v>
      </c>
      <c r="G11" s="263" t="s">
        <v>9</v>
      </c>
      <c r="H11" s="376">
        <f>ROUND(C11/1000,0)</f>
        <v>617</v>
      </c>
      <c r="I11" s="52" t="str">
        <f t="shared" si="0"/>
        <v> </v>
      </c>
      <c r="J11" s="376">
        <f>H11-'[8]Marts'!H11</f>
        <v>173</v>
      </c>
    </row>
    <row r="12" spans="1:10" ht="12.75">
      <c r="A12" s="91" t="s">
        <v>402</v>
      </c>
      <c r="B12" s="6">
        <f>SUM(B13,B30)</f>
        <v>2518335</v>
      </c>
      <c r="C12" s="6">
        <f>SUM(C13,C30)</f>
        <v>1819022</v>
      </c>
      <c r="D12" s="192">
        <f t="shared" si="1"/>
        <v>0.7223113684239786</v>
      </c>
      <c r="E12" s="276">
        <f>SUM(E13,E30)</f>
        <v>490805</v>
      </c>
      <c r="F12" s="91" t="s">
        <v>402</v>
      </c>
      <c r="G12" s="6">
        <f>SUM(G13,G30)</f>
        <v>2519</v>
      </c>
      <c r="H12" s="6">
        <f>SUM(H13,H30)</f>
        <v>1819</v>
      </c>
      <c r="I12" s="52">
        <f t="shared" si="0"/>
        <v>0.722111949186185</v>
      </c>
      <c r="J12" s="6">
        <f>SUM(J13,J30)</f>
        <v>491</v>
      </c>
    </row>
    <row r="13" spans="1:10" ht="16.5" customHeight="1">
      <c r="A13" s="98" t="s">
        <v>378</v>
      </c>
      <c r="B13" s="6">
        <f>SUM(B14,B21,B24)</f>
        <v>2044047</v>
      </c>
      <c r="C13" s="6">
        <f>SUM(C14,C21,C24)</f>
        <v>1609935</v>
      </c>
      <c r="D13" s="192">
        <f t="shared" si="1"/>
        <v>0.787621321818921</v>
      </c>
      <c r="E13" s="276">
        <f>SUM(E14,E21,E24)</f>
        <v>437339</v>
      </c>
      <c r="F13" s="98" t="s">
        <v>378</v>
      </c>
      <c r="G13" s="6">
        <f>SUM(G14,G21,G24)</f>
        <v>2045</v>
      </c>
      <c r="H13" s="6">
        <f>SUM(H14,H21,H24)</f>
        <v>1610</v>
      </c>
      <c r="I13" s="52">
        <f t="shared" si="0"/>
        <v>0.7872860635696821</v>
      </c>
      <c r="J13" s="6">
        <f>SUM(J14,J21,J24)</f>
        <v>437</v>
      </c>
    </row>
    <row r="14" spans="1:10" ht="12.75">
      <c r="A14" s="98" t="s">
        <v>244</v>
      </c>
      <c r="B14" s="6">
        <f>SUM(B15:B17)</f>
        <v>1885519</v>
      </c>
      <c r="C14" s="379">
        <f>SUM(C15,C16,C17,C20)</f>
        <v>1493638</v>
      </c>
      <c r="D14" s="192">
        <f t="shared" si="1"/>
        <v>0.7921627944348479</v>
      </c>
      <c r="E14" s="380">
        <f>SUM(E15,E16,E17,E20)</f>
        <v>423252</v>
      </c>
      <c r="F14" s="98" t="s">
        <v>244</v>
      </c>
      <c r="G14" s="373">
        <f>ROUND(B14/1000,0)</f>
        <v>1886</v>
      </c>
      <c r="H14" s="379">
        <f>SUM(H15,H16,H17,H20)</f>
        <v>1493</v>
      </c>
      <c r="I14" s="52">
        <f t="shared" si="0"/>
        <v>0.7916224814422057</v>
      </c>
      <c r="J14" s="379">
        <f>SUM(J15,J16,J17,J20)</f>
        <v>423</v>
      </c>
    </row>
    <row r="15" spans="1:10" ht="12.75">
      <c r="A15" s="205" t="s">
        <v>245</v>
      </c>
      <c r="B15" s="277">
        <v>217435</v>
      </c>
      <c r="C15" s="277">
        <v>135337</v>
      </c>
      <c r="D15" s="206">
        <f t="shared" si="1"/>
        <v>0.6224250925563961</v>
      </c>
      <c r="E15" s="381">
        <f>C15-'[8]Marts'!C15</f>
        <v>31085</v>
      </c>
      <c r="F15" s="205" t="s">
        <v>245</v>
      </c>
      <c r="G15" s="376">
        <f>ROUND(B15/1000,0)</f>
        <v>217</v>
      </c>
      <c r="H15" s="376">
        <f>ROUND(C15/1000,0)</f>
        <v>135</v>
      </c>
      <c r="I15" s="52">
        <f t="shared" si="0"/>
        <v>0.6221198156682027</v>
      </c>
      <c r="J15" s="376">
        <f>H15-'[8]Marts'!H15</f>
        <v>31</v>
      </c>
    </row>
    <row r="16" spans="1:10" ht="25.5">
      <c r="A16" s="63" t="s">
        <v>403</v>
      </c>
      <c r="B16" s="219" t="s">
        <v>9</v>
      </c>
      <c r="C16" s="277">
        <v>23292</v>
      </c>
      <c r="D16" s="219" t="s">
        <v>9</v>
      </c>
      <c r="E16" s="381">
        <f>C16-'[8]Marts'!C16</f>
        <v>6685</v>
      </c>
      <c r="F16" s="63" t="s">
        <v>403</v>
      </c>
      <c r="G16" s="219" t="s">
        <v>9</v>
      </c>
      <c r="H16" s="376">
        <f>ROUND(C16/1000,0)</f>
        <v>23</v>
      </c>
      <c r="I16" s="219" t="s">
        <v>9</v>
      </c>
      <c r="J16" s="376">
        <f>H16-'[8]Marts'!H16</f>
        <v>6</v>
      </c>
    </row>
    <row r="17" spans="1:10" ht="12.75">
      <c r="A17" s="63" t="s">
        <v>247</v>
      </c>
      <c r="B17" s="225">
        <v>1668084</v>
      </c>
      <c r="C17" s="277">
        <f>SUM(C18:C19)</f>
        <v>1335009</v>
      </c>
      <c r="D17" s="206">
        <f t="shared" si="1"/>
        <v>0.8003248037868597</v>
      </c>
      <c r="E17" s="382">
        <f>SUM(E18:E19)</f>
        <v>385482</v>
      </c>
      <c r="F17" s="63" t="s">
        <v>247</v>
      </c>
      <c r="G17" s="219" t="s">
        <v>9</v>
      </c>
      <c r="H17" s="225">
        <f>SUM(H18:H19)</f>
        <v>1335</v>
      </c>
      <c r="I17" s="219" t="s">
        <v>9</v>
      </c>
      <c r="J17" s="225">
        <f>SUM(J18:J19)</f>
        <v>386</v>
      </c>
    </row>
    <row r="18" spans="1:10" s="384" customFormat="1" ht="12.75">
      <c r="A18" s="229" t="s">
        <v>404</v>
      </c>
      <c r="B18" s="230" t="s">
        <v>9</v>
      </c>
      <c r="C18" s="291">
        <f>458400+120123+617387</f>
        <v>1195910</v>
      </c>
      <c r="D18" s="230" t="s">
        <v>9</v>
      </c>
      <c r="E18" s="381">
        <f>C18-'[8]Marts'!C18</f>
        <v>352714</v>
      </c>
      <c r="F18" s="229" t="s">
        <v>405</v>
      </c>
      <c r="G18" s="230" t="s">
        <v>9</v>
      </c>
      <c r="H18" s="383">
        <f>ROUND(C18/1000,0)</f>
        <v>1196</v>
      </c>
      <c r="I18" s="230" t="s">
        <v>9</v>
      </c>
      <c r="J18" s="376">
        <f>H18-'[8]Marts'!H18</f>
        <v>353</v>
      </c>
    </row>
    <row r="19" spans="1:10" s="384" customFormat="1" ht="12.75">
      <c r="A19" s="385" t="s">
        <v>406</v>
      </c>
      <c r="B19" s="230" t="s">
        <v>9</v>
      </c>
      <c r="C19" s="291">
        <f>130826+8273</f>
        <v>139099</v>
      </c>
      <c r="D19" s="230" t="s">
        <v>9</v>
      </c>
      <c r="E19" s="381">
        <f>C19-'[8]Marts'!C19</f>
        <v>32768</v>
      </c>
      <c r="F19" s="229" t="s">
        <v>407</v>
      </c>
      <c r="G19" s="230" t="s">
        <v>9</v>
      </c>
      <c r="H19" s="383">
        <f>ROUND(C19/1000,0)</f>
        <v>139</v>
      </c>
      <c r="I19" s="230" t="s">
        <v>9</v>
      </c>
      <c r="J19" s="376">
        <f>H19-'[8]Marts'!H19</f>
        <v>33</v>
      </c>
    </row>
    <row r="20" spans="1:10" ht="12.75">
      <c r="A20" s="63" t="s">
        <v>379</v>
      </c>
      <c r="B20" s="219" t="s">
        <v>9</v>
      </c>
      <c r="C20" s="277"/>
      <c r="D20" s="219" t="s">
        <v>9</v>
      </c>
      <c r="E20" s="381">
        <f>C20-'[8]Marts'!C20</f>
        <v>0</v>
      </c>
      <c r="F20" s="63" t="s">
        <v>379</v>
      </c>
      <c r="G20" s="219" t="s">
        <v>9</v>
      </c>
      <c r="H20" s="376">
        <f>ROUND(C20/1000,0)</f>
        <v>0</v>
      </c>
      <c r="I20" s="219" t="s">
        <v>9</v>
      </c>
      <c r="J20" s="376">
        <f>H20-'[8]Marts'!H20</f>
        <v>0</v>
      </c>
    </row>
    <row r="21" spans="1:10" ht="25.5">
      <c r="A21" s="71" t="s">
        <v>248</v>
      </c>
      <c r="B21" s="219" t="s">
        <v>9</v>
      </c>
      <c r="C21" s="379">
        <f>SUM(C22:C23)</f>
        <v>0</v>
      </c>
      <c r="D21" s="192" t="str">
        <f>IF(ISERROR(C21/B21)," ",(C21/B21))</f>
        <v> </v>
      </c>
      <c r="E21" s="380">
        <f>SUM(E22:E23)</f>
        <v>0</v>
      </c>
      <c r="F21" s="71" t="s">
        <v>248</v>
      </c>
      <c r="G21" s="219" t="s">
        <v>9</v>
      </c>
      <c r="H21" s="379">
        <f>SUM(H22:H23)</f>
        <v>0</v>
      </c>
      <c r="I21" s="386" t="str">
        <f>IF(ISERROR(ROUND(H21,0)/ROUND(g,0))," ",(ROUND(H21,)/ROUND(G21,)))</f>
        <v> </v>
      </c>
      <c r="J21" s="379">
        <f>SUM(J22:J23)</f>
        <v>0</v>
      </c>
    </row>
    <row r="22" spans="1:10" ht="25.5">
      <c r="A22" s="63" t="s">
        <v>408</v>
      </c>
      <c r="B22" s="219" t="s">
        <v>9</v>
      </c>
      <c r="C22" s="277"/>
      <c r="D22" s="219" t="s">
        <v>9</v>
      </c>
      <c r="E22" s="381">
        <f>C22-'[8]Marts'!C22</f>
        <v>0</v>
      </c>
      <c r="F22" s="63" t="s">
        <v>408</v>
      </c>
      <c r="G22" s="219" t="s">
        <v>9</v>
      </c>
      <c r="H22" s="376">
        <f>ROUND(C22/1000,0)</f>
        <v>0</v>
      </c>
      <c r="I22" s="219" t="s">
        <v>9</v>
      </c>
      <c r="J22" s="376">
        <f>H22-'[8]Marts'!H22</f>
        <v>0</v>
      </c>
    </row>
    <row r="23" spans="1:10" ht="25.5">
      <c r="A23" s="63" t="s">
        <v>409</v>
      </c>
      <c r="B23" s="219" t="s">
        <v>9</v>
      </c>
      <c r="C23" s="277"/>
      <c r="D23" s="219" t="s">
        <v>9</v>
      </c>
      <c r="E23" s="381">
        <f>C23-'[8]Marts'!C23</f>
        <v>0</v>
      </c>
      <c r="F23" s="63" t="s">
        <v>409</v>
      </c>
      <c r="G23" s="219" t="s">
        <v>9</v>
      </c>
      <c r="H23" s="376">
        <f>ROUND(C23/1000,0)</f>
        <v>0</v>
      </c>
      <c r="I23" s="219" t="s">
        <v>9</v>
      </c>
      <c r="J23" s="376">
        <f>H23-'[8]Marts'!H23</f>
        <v>0</v>
      </c>
    </row>
    <row r="24" spans="1:10" ht="17.25" customHeight="1">
      <c r="A24" s="26" t="s">
        <v>253</v>
      </c>
      <c r="B24" s="6">
        <f>SUM(B28:B29)</f>
        <v>158528</v>
      </c>
      <c r="C24" s="379">
        <f>SUM(C25:C29)</f>
        <v>116297</v>
      </c>
      <c r="D24" s="192">
        <f>IF(ISERROR(C24/B24)," ",(C24/B24))</f>
        <v>0.7336054198627372</v>
      </c>
      <c r="E24" s="380">
        <f>SUM(E25:E29)</f>
        <v>14087</v>
      </c>
      <c r="F24" s="26" t="s">
        <v>253</v>
      </c>
      <c r="G24" s="376">
        <f>ROUND(B24/1000,0)</f>
        <v>159</v>
      </c>
      <c r="H24" s="379">
        <f>SUM(H25:H29)</f>
        <v>117</v>
      </c>
      <c r="I24" s="52">
        <f>IF(ISERROR(H24/G24)," ",(H24/G24))</f>
        <v>0.7358490566037735</v>
      </c>
      <c r="J24" s="379">
        <f>SUM(J25:J29)</f>
        <v>14</v>
      </c>
    </row>
    <row r="25" spans="1:10" ht="15.75" customHeight="1">
      <c r="A25" s="205" t="s">
        <v>254</v>
      </c>
      <c r="B25" s="225">
        <f>10203</f>
        <v>10203</v>
      </c>
      <c r="C25" s="277">
        <v>4602</v>
      </c>
      <c r="D25" s="219" t="s">
        <v>9</v>
      </c>
      <c r="E25" s="381">
        <f>C25-'[8]Marts'!C25</f>
        <v>1</v>
      </c>
      <c r="F25" s="205" t="s">
        <v>254</v>
      </c>
      <c r="G25" s="219" t="s">
        <v>9</v>
      </c>
      <c r="H25" s="376">
        <f>ROUND(C25/1000,0)</f>
        <v>5</v>
      </c>
      <c r="I25" s="219" t="s">
        <v>9</v>
      </c>
      <c r="J25" s="376">
        <f>H25-'[8]Marts'!H25</f>
        <v>0</v>
      </c>
    </row>
    <row r="26" spans="1:10" ht="15.75" customHeight="1">
      <c r="A26" s="205" t="s">
        <v>255</v>
      </c>
      <c r="B26" s="219" t="s">
        <v>9</v>
      </c>
      <c r="C26" s="277"/>
      <c r="D26" s="219" t="s">
        <v>9</v>
      </c>
      <c r="E26" s="381">
        <f>C26-'[8]Marts'!C26</f>
        <v>0</v>
      </c>
      <c r="F26" s="205" t="s">
        <v>255</v>
      </c>
      <c r="G26" s="219" t="s">
        <v>9</v>
      </c>
      <c r="H26" s="376">
        <f>ROUND(C26/1000,0)</f>
        <v>0</v>
      </c>
      <c r="I26" s="219" t="s">
        <v>9</v>
      </c>
      <c r="J26" s="376">
        <f>H26-'[8]Marts'!H26</f>
        <v>0</v>
      </c>
    </row>
    <row r="27" spans="1:10" ht="16.5" customHeight="1">
      <c r="A27" s="63" t="s">
        <v>256</v>
      </c>
      <c r="B27" s="219" t="s">
        <v>9</v>
      </c>
      <c r="C27" s="277"/>
      <c r="D27" s="219" t="s">
        <v>9</v>
      </c>
      <c r="E27" s="381">
        <f>C27-'[8]Marts'!C27</f>
        <v>0</v>
      </c>
      <c r="F27" s="63" t="s">
        <v>256</v>
      </c>
      <c r="G27" s="219" t="s">
        <v>9</v>
      </c>
      <c r="H27" s="376">
        <f>ROUND(C27/1000,0)</f>
        <v>0</v>
      </c>
      <c r="I27" s="219" t="s">
        <v>9</v>
      </c>
      <c r="J27" s="376">
        <f>H27-'[8]Marts'!H27</f>
        <v>0</v>
      </c>
    </row>
    <row r="28" spans="1:10" ht="12.75">
      <c r="A28" s="63" t="s">
        <v>257</v>
      </c>
      <c r="B28" s="225">
        <v>22476</v>
      </c>
      <c r="C28" s="277">
        <v>19170</v>
      </c>
      <c r="D28" s="206">
        <f>IF(ISERROR(C28/B28)," ",(C28/B28))</f>
        <v>0.8529097704217833</v>
      </c>
      <c r="E28" s="381">
        <f>C28-'[8]Marts'!C28</f>
        <v>2481</v>
      </c>
      <c r="F28" s="63" t="s">
        <v>410</v>
      </c>
      <c r="G28" s="219" t="s">
        <v>9</v>
      </c>
      <c r="H28" s="376">
        <f>ROUND(C28/1000,0)</f>
        <v>19</v>
      </c>
      <c r="I28" s="219" t="s">
        <v>9</v>
      </c>
      <c r="J28" s="376">
        <f>H28-'[8]Marts'!H28</f>
        <v>2</v>
      </c>
    </row>
    <row r="29" spans="1:10" ht="15" customHeight="1">
      <c r="A29" s="63" t="s">
        <v>382</v>
      </c>
      <c r="B29" s="225">
        <v>136052</v>
      </c>
      <c r="C29" s="277">
        <v>92525</v>
      </c>
      <c r="D29" s="206">
        <f>IF(ISERROR(C29/B29)," ",(C29/B29))</f>
        <v>0.6800708552612237</v>
      </c>
      <c r="E29" s="381">
        <f>C29-'[8]Marts'!C29</f>
        <v>11605</v>
      </c>
      <c r="F29" s="63" t="s">
        <v>262</v>
      </c>
      <c r="G29" s="219" t="s">
        <v>9</v>
      </c>
      <c r="H29" s="376">
        <f>ROUND(C29/1000,0)</f>
        <v>93</v>
      </c>
      <c r="I29" s="219" t="s">
        <v>9</v>
      </c>
      <c r="J29" s="376">
        <f>H29-'[8]Marts'!H29</f>
        <v>12</v>
      </c>
    </row>
    <row r="30" spans="1:10" ht="19.5" customHeight="1">
      <c r="A30" s="135" t="s">
        <v>411</v>
      </c>
      <c r="B30" s="379">
        <f>SUM(B31:B32)</f>
        <v>474288</v>
      </c>
      <c r="C30" s="379">
        <f>SUM(C31:C32)</f>
        <v>209087</v>
      </c>
      <c r="D30" s="192">
        <f>IF(ISERROR(C30/B30)," ",(C30/B30))</f>
        <v>0.4408439597881456</v>
      </c>
      <c r="E30" s="380">
        <f>SUM(E31:E32)</f>
        <v>53466</v>
      </c>
      <c r="F30" s="135" t="s">
        <v>411</v>
      </c>
      <c r="G30" s="379">
        <f>SUM(G31:G32)</f>
        <v>474</v>
      </c>
      <c r="H30" s="379">
        <f>SUM(H31:H32)</f>
        <v>209</v>
      </c>
      <c r="I30" s="52">
        <f>IF(ISERROR(H30/G30)," ",(H30/G30))</f>
        <v>0.4409282700421941</v>
      </c>
      <c r="J30" s="379">
        <f>SUM(J31:J32)</f>
        <v>54</v>
      </c>
    </row>
    <row r="31" spans="1:10" ht="18.75" customHeight="1">
      <c r="A31" s="63" t="s">
        <v>274</v>
      </c>
      <c r="B31" s="277">
        <v>416288</v>
      </c>
      <c r="C31" s="277">
        <f>162060+3870+21744</f>
        <v>187674</v>
      </c>
      <c r="D31" s="206">
        <f>IF(ISERROR(C31/B31)," ",(C31/B31))</f>
        <v>0.4508273118610193</v>
      </c>
      <c r="E31" s="381">
        <f>C31-'[8]Marts'!C31</f>
        <v>53466</v>
      </c>
      <c r="F31" s="63" t="s">
        <v>274</v>
      </c>
      <c r="G31" s="376">
        <f>ROUND(B31/1000,0)</f>
        <v>416</v>
      </c>
      <c r="H31" s="376">
        <f>ROUND(C31/1000,0)</f>
        <v>188</v>
      </c>
      <c r="I31" s="52">
        <f>IF(ISERROR(H31/G31)," ",(H31/G31))</f>
        <v>0.4519230769230769</v>
      </c>
      <c r="J31" s="376">
        <f>H31-'[8]Marts'!H31</f>
        <v>54</v>
      </c>
    </row>
    <row r="32" spans="1:10" ht="18" customHeight="1">
      <c r="A32" s="63" t="s">
        <v>276</v>
      </c>
      <c r="B32" s="277">
        <v>58000</v>
      </c>
      <c r="C32" s="291">
        <v>21413</v>
      </c>
      <c r="D32" s="206">
        <f>IF(ISERROR(C32/B32)," ",(C32/B32))</f>
        <v>0.3691896551724138</v>
      </c>
      <c r="E32" s="381">
        <f>C32-'[8]Marts'!C32</f>
        <v>0</v>
      </c>
      <c r="F32" s="63" t="s">
        <v>276</v>
      </c>
      <c r="G32" s="376">
        <f>ROUND(B32/1000,0)</f>
        <v>58</v>
      </c>
      <c r="H32" s="376">
        <f>ROUND(C32/1000,0)</f>
        <v>21</v>
      </c>
      <c r="I32" s="52">
        <f>IF(ISERROR(H32/G32)," ",(H32/G32))</f>
        <v>0.3620689655172414</v>
      </c>
      <c r="J32" s="376">
        <f>H32-'[8]Marts'!H32</f>
        <v>0</v>
      </c>
    </row>
    <row r="33" spans="1:10" s="205" customFormat="1" ht="15.75" customHeight="1">
      <c r="A33" s="135" t="s">
        <v>412</v>
      </c>
      <c r="B33" s="219" t="s">
        <v>9</v>
      </c>
      <c r="C33" s="6">
        <f>SUM(C9-C12)</f>
        <v>46054</v>
      </c>
      <c r="D33" s="219" t="s">
        <v>9</v>
      </c>
      <c r="E33" s="285" t="s">
        <v>9</v>
      </c>
      <c r="F33" s="135" t="s">
        <v>412</v>
      </c>
      <c r="G33" s="219"/>
      <c r="H33" s="379">
        <f>SUM(H9-H12)</f>
        <v>46</v>
      </c>
      <c r="I33" s="219" t="s">
        <v>9</v>
      </c>
      <c r="J33" s="219" t="s">
        <v>9</v>
      </c>
    </row>
    <row r="34" spans="1:10" s="205" customFormat="1" ht="16.5" customHeight="1">
      <c r="A34" s="135" t="s">
        <v>286</v>
      </c>
      <c r="B34" s="219" t="s">
        <v>9</v>
      </c>
      <c r="C34" s="277">
        <f>-(C33)</f>
        <v>-46054</v>
      </c>
      <c r="D34" s="219" t="s">
        <v>9</v>
      </c>
      <c r="E34" s="285" t="s">
        <v>9</v>
      </c>
      <c r="F34" s="135" t="s">
        <v>286</v>
      </c>
      <c r="G34" s="277"/>
      <c r="H34" s="379">
        <f>ROUND(C34/1000,0)</f>
        <v>-46</v>
      </c>
      <c r="I34" s="219" t="s">
        <v>9</v>
      </c>
      <c r="J34" s="219" t="s">
        <v>9</v>
      </c>
    </row>
    <row r="35" spans="1:10" s="205" customFormat="1" ht="26.25" customHeight="1">
      <c r="A35" s="256" t="s">
        <v>413</v>
      </c>
      <c r="B35" s="219" t="s">
        <v>9</v>
      </c>
      <c r="C35" s="277">
        <f>-(C33)</f>
        <v>-46054</v>
      </c>
      <c r="D35" s="219" t="s">
        <v>9</v>
      </c>
      <c r="E35" s="285" t="s">
        <v>9</v>
      </c>
      <c r="F35" s="256" t="s">
        <v>413</v>
      </c>
      <c r="G35" s="277"/>
      <c r="H35" s="376">
        <f>ROUND(C35/1000,0)</f>
        <v>-46</v>
      </c>
      <c r="I35" s="219" t="s">
        <v>9</v>
      </c>
      <c r="J35" s="219" t="s">
        <v>9</v>
      </c>
    </row>
    <row r="36" spans="1:10" s="76" customFormat="1" ht="16.5" customHeight="1">
      <c r="A36" s="387"/>
      <c r="B36" s="142"/>
      <c r="C36" s="388"/>
      <c r="D36" s="388"/>
      <c r="E36" s="388"/>
      <c r="F36" s="387"/>
      <c r="G36" s="142"/>
      <c r="H36" s="388"/>
      <c r="I36" s="388"/>
      <c r="J36" s="388"/>
    </row>
    <row r="37" spans="1:10" s="76" customFormat="1" ht="16.5" customHeight="1">
      <c r="A37" s="387"/>
      <c r="B37" s="142"/>
      <c r="C37" s="388"/>
      <c r="D37" s="388"/>
      <c r="E37" s="388"/>
      <c r="F37" s="387"/>
      <c r="G37" s="142"/>
      <c r="H37" s="388"/>
      <c r="I37" s="388"/>
      <c r="J37" s="388"/>
    </row>
    <row r="38" spans="1:10" s="76" customFormat="1" ht="16.5" customHeight="1">
      <c r="A38" s="387"/>
      <c r="B38" s="142"/>
      <c r="C38" s="388"/>
      <c r="D38" s="388"/>
      <c r="E38" s="388"/>
      <c r="F38" s="37" t="s">
        <v>290</v>
      </c>
      <c r="G38" s="142"/>
      <c r="H38" s="388"/>
      <c r="I38" s="388"/>
      <c r="J38" s="388"/>
    </row>
    <row r="39" spans="1:10" s="76" customFormat="1" ht="16.5" customHeight="1">
      <c r="A39" s="387"/>
      <c r="B39" s="142"/>
      <c r="C39" s="388"/>
      <c r="D39" s="388"/>
      <c r="E39" s="388"/>
      <c r="J39" s="388"/>
    </row>
    <row r="40" spans="1:5" s="76" customFormat="1" ht="16.5" customHeight="1">
      <c r="A40" s="387"/>
      <c r="B40" s="142"/>
      <c r="C40" s="388"/>
      <c r="D40" s="388"/>
      <c r="E40" s="388"/>
    </row>
    <row r="41" spans="1:10" s="76" customFormat="1" ht="16.5" customHeight="1">
      <c r="A41" s="387"/>
      <c r="B41" s="142"/>
      <c r="C41" s="388"/>
      <c r="D41" s="388"/>
      <c r="E41" s="388"/>
      <c r="G41" s="142"/>
      <c r="H41" s="388"/>
      <c r="I41" s="388"/>
      <c r="J41" s="264"/>
    </row>
    <row r="42" spans="1:10" ht="16.5" customHeight="1">
      <c r="A42" s="139"/>
      <c r="B42" s="142"/>
      <c r="C42" s="142"/>
      <c r="D42" s="389"/>
      <c r="E42" s="76"/>
      <c r="G42" s="34"/>
      <c r="H42" s="34"/>
      <c r="I42" s="184"/>
      <c r="J42" s="32"/>
    </row>
    <row r="43" spans="2:9" ht="12.75">
      <c r="B43" s="29"/>
      <c r="C43" s="29"/>
      <c r="D43" s="390"/>
      <c r="G43" s="38"/>
      <c r="H43" s="29"/>
      <c r="I43" s="390"/>
    </row>
    <row r="44" spans="1:9" ht="12.75">
      <c r="A44" s="37" t="s">
        <v>290</v>
      </c>
      <c r="B44" s="34"/>
      <c r="C44" s="34"/>
      <c r="D44" s="184"/>
      <c r="E44" s="32"/>
      <c r="F44" s="264" t="s">
        <v>120</v>
      </c>
      <c r="G44" s="38"/>
      <c r="H44" s="29"/>
      <c r="I44" s="390"/>
    </row>
    <row r="45" spans="2:9" ht="12.75">
      <c r="B45" s="38"/>
      <c r="C45" s="29"/>
      <c r="D45" s="390"/>
      <c r="F45" s="264" t="s">
        <v>43</v>
      </c>
      <c r="G45" s="38"/>
      <c r="H45" s="29"/>
      <c r="I45" s="390"/>
    </row>
  </sheetData>
  <printOptions/>
  <pageMargins left="0.75" right="0.31" top="0.59" bottom="0.25" header="0.17" footer="0.16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8"/>
  <sheetViews>
    <sheetView workbookViewId="0" topLeftCell="F1">
      <selection activeCell="B6" sqref="B6"/>
    </sheetView>
  </sheetViews>
  <sheetFormatPr defaultColWidth="9.140625" defaultRowHeight="12.75"/>
  <cols>
    <col min="1" max="1" width="35.28125" style="43" hidden="1" customWidth="1"/>
    <col min="2" max="2" width="8.8515625" style="43" hidden="1" customWidth="1"/>
    <col min="3" max="3" width="14.28125" style="43" hidden="1" customWidth="1"/>
    <col min="4" max="4" width="13.7109375" style="43" hidden="1" customWidth="1"/>
    <col min="5" max="5" width="11.7109375" style="43" hidden="1" customWidth="1"/>
    <col min="6" max="6" width="44.28125" style="43" customWidth="1"/>
    <col min="7" max="7" width="8.00390625" style="43" customWidth="1"/>
    <col min="8" max="8" width="11.7109375" style="43" customWidth="1"/>
    <col min="9" max="9" width="10.8515625" style="43" customWidth="1"/>
    <col min="10" max="10" width="9.140625" style="43" customWidth="1"/>
    <col min="11" max="16384" width="7.8515625" style="43" customWidth="1"/>
  </cols>
  <sheetData>
    <row r="1" ht="12.75">
      <c r="H1" s="75"/>
    </row>
    <row r="2" spans="1:10" ht="12.75">
      <c r="A2" s="444" t="s">
        <v>414</v>
      </c>
      <c r="B2" s="444"/>
      <c r="C2" s="444"/>
      <c r="E2" s="37" t="s">
        <v>415</v>
      </c>
      <c r="F2" s="444" t="s">
        <v>416</v>
      </c>
      <c r="G2" s="444"/>
      <c r="H2" s="444"/>
      <c r="I2" s="444"/>
      <c r="J2" s="370" t="s">
        <v>415</v>
      </c>
    </row>
    <row r="3" ht="12.75">
      <c r="A3" s="391" t="s">
        <v>417</v>
      </c>
    </row>
    <row r="4" spans="1:10" ht="15.75">
      <c r="A4" s="450" t="s">
        <v>418</v>
      </c>
      <c r="B4" s="450"/>
      <c r="C4" s="450"/>
      <c r="D4" s="450"/>
      <c r="F4" s="445" t="s">
        <v>417</v>
      </c>
      <c r="G4" s="445"/>
      <c r="H4" s="445"/>
      <c r="I4" s="445"/>
      <c r="J4" s="445"/>
    </row>
    <row r="5" spans="6:10" ht="15.75">
      <c r="F5" s="445" t="s">
        <v>418</v>
      </c>
      <c r="G5" s="445"/>
      <c r="H5" s="445"/>
      <c r="I5" s="445"/>
      <c r="J5" s="46"/>
    </row>
    <row r="8" spans="5:10" ht="12.75">
      <c r="E8" s="37" t="s">
        <v>419</v>
      </c>
      <c r="J8" s="370" t="s">
        <v>48</v>
      </c>
    </row>
    <row r="9" spans="1:10" ht="51">
      <c r="A9" s="392" t="s">
        <v>2</v>
      </c>
      <c r="B9" s="158" t="s">
        <v>420</v>
      </c>
      <c r="C9" s="158" t="s">
        <v>49</v>
      </c>
      <c r="D9" s="158" t="s">
        <v>50</v>
      </c>
      <c r="E9" s="158" t="s">
        <v>421</v>
      </c>
      <c r="F9" s="270" t="s">
        <v>2</v>
      </c>
      <c r="G9" s="85" t="s">
        <v>420</v>
      </c>
      <c r="H9" s="85" t="s">
        <v>49</v>
      </c>
      <c r="I9" s="85" t="s">
        <v>50</v>
      </c>
      <c r="J9" s="85" t="s">
        <v>421</v>
      </c>
    </row>
    <row r="10" spans="1:10" ht="12.75">
      <c r="A10" s="392">
        <v>1</v>
      </c>
      <c r="B10" s="392">
        <v>2</v>
      </c>
      <c r="C10" s="158">
        <v>3</v>
      </c>
      <c r="D10" s="158">
        <v>4</v>
      </c>
      <c r="E10" s="158">
        <v>5</v>
      </c>
      <c r="F10" s="270">
        <v>1</v>
      </c>
      <c r="G10" s="270">
        <v>2</v>
      </c>
      <c r="H10" s="85">
        <v>3</v>
      </c>
      <c r="I10" s="85">
        <v>4</v>
      </c>
      <c r="J10" s="85">
        <v>5</v>
      </c>
    </row>
    <row r="11" spans="1:10" ht="17.25" customHeight="1">
      <c r="A11" s="393" t="s">
        <v>301</v>
      </c>
      <c r="B11" s="157"/>
      <c r="C11" s="394">
        <f>SUM(C12:C25)</f>
        <v>759846889</v>
      </c>
      <c r="D11" s="394">
        <f>D12+D13+D14+D15+D16+D17+D18+D19+D20+D21+D22+D23+D24+D25</f>
        <v>244708350</v>
      </c>
      <c r="E11" s="395">
        <f>IF(ISERROR(D11/C11)," ",(D11/C11))</f>
        <v>0.322049551748576</v>
      </c>
      <c r="F11" s="98" t="s">
        <v>301</v>
      </c>
      <c r="G11" s="213"/>
      <c r="H11" s="6">
        <f>SUM(H12:H25)</f>
        <v>759847</v>
      </c>
      <c r="I11" s="6">
        <f>I12+I13+I14+I15+I16+I17+I18+I19+I20+I21+I22+I23+I24+I25+I26</f>
        <v>244708</v>
      </c>
      <c r="J11" s="386">
        <f>IF(ISERROR(I11/H11)," ",(I11/H11))</f>
        <v>0.3220490440838748</v>
      </c>
    </row>
    <row r="12" spans="1:10" ht="16.5" customHeight="1">
      <c r="A12" s="76" t="s">
        <v>422</v>
      </c>
      <c r="B12" s="396">
        <v>1</v>
      </c>
      <c r="C12" s="196">
        <v>81345350</v>
      </c>
      <c r="D12" s="196">
        <v>23215977</v>
      </c>
      <c r="E12" s="143">
        <f aca="true" t="shared" si="0" ref="E12:E25">IF(ISERROR(D12/C12)," ",(D12/C12))</f>
        <v>0.28540017345797886</v>
      </c>
      <c r="F12" s="205" t="s">
        <v>422</v>
      </c>
      <c r="G12" s="397">
        <v>1</v>
      </c>
      <c r="H12" s="277">
        <f>ROUND(C12/1000,)</f>
        <v>81345</v>
      </c>
      <c r="I12" s="277">
        <f>ROUND(D12/1000,)</f>
        <v>23216</v>
      </c>
      <c r="J12" s="398">
        <f aca="true" t="shared" si="1" ref="J12:J25">IF(ISERROR(I12/H12)," ",(I12/H12))</f>
        <v>0.2854016841846456</v>
      </c>
    </row>
    <row r="13" spans="1:10" ht="18.75" customHeight="1">
      <c r="A13" s="75" t="s">
        <v>423</v>
      </c>
      <c r="B13" s="396">
        <v>2</v>
      </c>
      <c r="C13" s="196">
        <v>42056404</v>
      </c>
      <c r="D13" s="196">
        <v>11601893</v>
      </c>
      <c r="E13" s="143">
        <f t="shared" si="0"/>
        <v>0.2758650739611499</v>
      </c>
      <c r="F13" s="54" t="s">
        <v>423</v>
      </c>
      <c r="G13" s="397">
        <v>2</v>
      </c>
      <c r="H13" s="277">
        <f aca="true" t="shared" si="2" ref="H13:H23">ROUND(C13/1000,)</f>
        <v>42056</v>
      </c>
      <c r="I13" s="277">
        <f>ROUND(D13/1000,0)</f>
        <v>11602</v>
      </c>
      <c r="J13" s="398">
        <f t="shared" si="1"/>
        <v>0.27587026821381017</v>
      </c>
    </row>
    <row r="14" spans="1:10" ht="17.25" customHeight="1">
      <c r="A14" s="75" t="s">
        <v>424</v>
      </c>
      <c r="B14" s="396">
        <v>3</v>
      </c>
      <c r="C14" s="196">
        <v>107516673</v>
      </c>
      <c r="D14" s="196">
        <v>33644741</v>
      </c>
      <c r="E14" s="143">
        <f t="shared" si="0"/>
        <v>0.3129258008197482</v>
      </c>
      <c r="F14" s="54" t="s">
        <v>424</v>
      </c>
      <c r="G14" s="397">
        <v>3</v>
      </c>
      <c r="H14" s="277">
        <f t="shared" si="2"/>
        <v>107517</v>
      </c>
      <c r="I14" s="277">
        <f>ROUND(D14/1000,0)</f>
        <v>33645</v>
      </c>
      <c r="J14" s="398">
        <f t="shared" si="1"/>
        <v>0.3129272580150116</v>
      </c>
    </row>
    <row r="15" spans="1:10" ht="18" customHeight="1">
      <c r="A15" s="75" t="s">
        <v>425</v>
      </c>
      <c r="B15" s="396">
        <v>4</v>
      </c>
      <c r="C15" s="196">
        <v>94107012</v>
      </c>
      <c r="D15" s="196">
        <v>25768805</v>
      </c>
      <c r="E15" s="143">
        <f t="shared" si="0"/>
        <v>0.2738244946083295</v>
      </c>
      <c r="F15" s="54" t="s">
        <v>425</v>
      </c>
      <c r="G15" s="397">
        <v>4</v>
      </c>
      <c r="H15" s="277">
        <f t="shared" si="2"/>
        <v>94107</v>
      </c>
      <c r="I15" s="277">
        <f aca="true" t="shared" si="3" ref="I15:I23">ROUND(D15/1000,0)</f>
        <v>25769</v>
      </c>
      <c r="J15" s="398">
        <f t="shared" si="1"/>
        <v>0.2738266016343099</v>
      </c>
    </row>
    <row r="16" spans="1:10" ht="18" customHeight="1">
      <c r="A16" s="75" t="s">
        <v>426</v>
      </c>
      <c r="B16" s="396">
        <v>5</v>
      </c>
      <c r="C16" s="196">
        <v>68611451</v>
      </c>
      <c r="D16" s="196">
        <v>22863676</v>
      </c>
      <c r="E16" s="143">
        <f t="shared" si="0"/>
        <v>0.33323411277222514</v>
      </c>
      <c r="F16" s="54" t="s">
        <v>426</v>
      </c>
      <c r="G16" s="397">
        <v>5</v>
      </c>
      <c r="H16" s="277">
        <f t="shared" si="2"/>
        <v>68611</v>
      </c>
      <c r="I16" s="277">
        <f>ROUND(D16/1000,0)</f>
        <v>22864</v>
      </c>
      <c r="J16" s="398">
        <f t="shared" si="1"/>
        <v>0.3332410254915393</v>
      </c>
    </row>
    <row r="17" spans="1:10" ht="20.25" customHeight="1">
      <c r="A17" s="75" t="s">
        <v>427</v>
      </c>
      <c r="B17" s="396">
        <v>6</v>
      </c>
      <c r="C17" s="196">
        <v>80413469</v>
      </c>
      <c r="D17" s="196">
        <v>26602597</v>
      </c>
      <c r="E17" s="143">
        <f t="shared" si="0"/>
        <v>0.3308226511158224</v>
      </c>
      <c r="F17" s="54" t="s">
        <v>427</v>
      </c>
      <c r="G17" s="397">
        <v>6</v>
      </c>
      <c r="H17" s="277">
        <f t="shared" si="2"/>
        <v>80413</v>
      </c>
      <c r="I17" s="277">
        <f>ROUND(D17/1000,0)-1</f>
        <v>26602</v>
      </c>
      <c r="J17" s="398">
        <f t="shared" si="1"/>
        <v>0.3308171564299305</v>
      </c>
    </row>
    <row r="18" spans="1:10" ht="26.25" customHeight="1">
      <c r="A18" s="178" t="s">
        <v>428</v>
      </c>
      <c r="B18" s="396">
        <v>7</v>
      </c>
      <c r="C18" s="196">
        <v>5236094</v>
      </c>
      <c r="D18" s="196">
        <v>1333047</v>
      </c>
      <c r="E18" s="143">
        <f t="shared" si="0"/>
        <v>0.25458805743365187</v>
      </c>
      <c r="F18" s="63" t="s">
        <v>428</v>
      </c>
      <c r="G18" s="397">
        <v>7</v>
      </c>
      <c r="H18" s="277">
        <f t="shared" si="2"/>
        <v>5236</v>
      </c>
      <c r="I18" s="277">
        <f t="shared" si="3"/>
        <v>1333</v>
      </c>
      <c r="J18" s="398">
        <f t="shared" si="1"/>
        <v>0.25458365164247515</v>
      </c>
    </row>
    <row r="19" spans="1:10" ht="18.75" customHeight="1">
      <c r="A19" s="75" t="s">
        <v>429</v>
      </c>
      <c r="B19" s="396">
        <v>8</v>
      </c>
      <c r="C19" s="196">
        <v>23321734</v>
      </c>
      <c r="D19" s="196">
        <v>7777237</v>
      </c>
      <c r="E19" s="143">
        <f t="shared" si="0"/>
        <v>0.3334759327929904</v>
      </c>
      <c r="F19" s="54" t="s">
        <v>429</v>
      </c>
      <c r="G19" s="397">
        <v>8</v>
      </c>
      <c r="H19" s="277">
        <f t="shared" si="2"/>
        <v>23322</v>
      </c>
      <c r="I19" s="277">
        <f>ROUND(D19/1000,0)</f>
        <v>7777</v>
      </c>
      <c r="J19" s="398">
        <f t="shared" si="1"/>
        <v>0.33346196724123145</v>
      </c>
    </row>
    <row r="20" spans="1:10" ht="19.5" customHeight="1">
      <c r="A20" s="75" t="s">
        <v>430</v>
      </c>
      <c r="B20" s="396">
        <v>9</v>
      </c>
      <c r="C20" s="196">
        <v>156021</v>
      </c>
      <c r="D20" s="196">
        <v>47895</v>
      </c>
      <c r="E20" s="143">
        <f t="shared" si="0"/>
        <v>0.30697790682023574</v>
      </c>
      <c r="F20" s="54" t="s">
        <v>430</v>
      </c>
      <c r="G20" s="397">
        <v>9</v>
      </c>
      <c r="H20" s="277">
        <f t="shared" si="2"/>
        <v>156</v>
      </c>
      <c r="I20" s="277">
        <f t="shared" si="3"/>
        <v>48</v>
      </c>
      <c r="J20" s="398">
        <f t="shared" si="1"/>
        <v>0.3076923076923077</v>
      </c>
    </row>
    <row r="21" spans="1:12" ht="27.75" customHeight="1">
      <c r="A21" s="178" t="s">
        <v>431</v>
      </c>
      <c r="B21" s="396">
        <v>10</v>
      </c>
      <c r="C21" s="196">
        <v>75574914</v>
      </c>
      <c r="D21" s="196">
        <v>16250208</v>
      </c>
      <c r="E21" s="143">
        <f t="shared" si="0"/>
        <v>0.21502119076179166</v>
      </c>
      <c r="F21" s="63" t="s">
        <v>431</v>
      </c>
      <c r="G21" s="397">
        <v>10</v>
      </c>
      <c r="H21" s="277">
        <f t="shared" si="2"/>
        <v>75575</v>
      </c>
      <c r="I21" s="277">
        <f t="shared" si="3"/>
        <v>16250</v>
      </c>
      <c r="J21" s="398">
        <f t="shared" si="1"/>
        <v>0.2150181938471717</v>
      </c>
      <c r="L21" s="399"/>
    </row>
    <row r="22" spans="1:10" ht="25.5" customHeight="1">
      <c r="A22" s="178" t="s">
        <v>432</v>
      </c>
      <c r="B22" s="396">
        <v>11</v>
      </c>
      <c r="C22" s="196">
        <v>827061</v>
      </c>
      <c r="D22" s="196">
        <v>213971</v>
      </c>
      <c r="E22" s="143">
        <f t="shared" si="0"/>
        <v>0.2587124770724288</v>
      </c>
      <c r="F22" s="63" t="s">
        <v>432</v>
      </c>
      <c r="G22" s="397">
        <v>11</v>
      </c>
      <c r="H22" s="277">
        <f t="shared" si="2"/>
        <v>827</v>
      </c>
      <c r="I22" s="277">
        <f t="shared" si="3"/>
        <v>214</v>
      </c>
      <c r="J22" s="398">
        <f t="shared" si="1"/>
        <v>0.2587666263603386</v>
      </c>
    </row>
    <row r="23" spans="1:10" ht="19.5" customHeight="1">
      <c r="A23" s="75" t="s">
        <v>433</v>
      </c>
      <c r="B23" s="396">
        <v>12</v>
      </c>
      <c r="C23" s="196">
        <v>13810084</v>
      </c>
      <c r="D23" s="196">
        <v>2292933</v>
      </c>
      <c r="E23" s="143">
        <f t="shared" si="0"/>
        <v>0.16603324063778324</v>
      </c>
      <c r="F23" s="54" t="s">
        <v>433</v>
      </c>
      <c r="G23" s="397">
        <v>12</v>
      </c>
      <c r="H23" s="277">
        <f t="shared" si="2"/>
        <v>13810</v>
      </c>
      <c r="I23" s="277">
        <f t="shared" si="3"/>
        <v>2293</v>
      </c>
      <c r="J23" s="398">
        <f t="shared" si="1"/>
        <v>0.1660391020999276</v>
      </c>
    </row>
    <row r="24" spans="1:10" ht="19.5" customHeight="1">
      <c r="A24" s="75" t="s">
        <v>434</v>
      </c>
      <c r="B24" s="396">
        <v>13</v>
      </c>
      <c r="C24" s="196">
        <v>25013391</v>
      </c>
      <c r="D24" s="196">
        <f>7394850</f>
        <v>7394850</v>
      </c>
      <c r="E24" s="143">
        <f t="shared" si="0"/>
        <v>0.2956356457227251</v>
      </c>
      <c r="F24" s="54" t="s">
        <v>434</v>
      </c>
      <c r="G24" s="397">
        <v>13</v>
      </c>
      <c r="H24" s="277">
        <f>ROUND(C24/1000,)+2</f>
        <v>25015</v>
      </c>
      <c r="I24" s="277">
        <f>ROUND(D24/1000,0)</f>
        <v>7395</v>
      </c>
      <c r="J24" s="398">
        <f t="shared" si="1"/>
        <v>0.2956226264241455</v>
      </c>
    </row>
    <row r="25" spans="1:10" ht="24.75" customHeight="1">
      <c r="A25" s="178" t="s">
        <v>435</v>
      </c>
      <c r="B25" s="396">
        <v>14</v>
      </c>
      <c r="C25" s="196">
        <v>141857231</v>
      </c>
      <c r="D25" s="196">
        <f>42526933+23173587</f>
        <v>65700520</v>
      </c>
      <c r="E25" s="143">
        <f t="shared" si="0"/>
        <v>0.463145371842201</v>
      </c>
      <c r="F25" s="197" t="s">
        <v>436</v>
      </c>
      <c r="G25" s="400">
        <v>14</v>
      </c>
      <c r="H25" s="284">
        <f>ROUND(C25/1000,)</f>
        <v>141857</v>
      </c>
      <c r="I25" s="284">
        <f>ROUND(D25/1000,0)-1</f>
        <v>65700</v>
      </c>
      <c r="J25" s="398">
        <f t="shared" si="1"/>
        <v>0.4631424603650155</v>
      </c>
    </row>
    <row r="26" spans="2:10" ht="12.75">
      <c r="B26" s="36"/>
      <c r="C26" s="30"/>
      <c r="D26" s="30"/>
      <c r="E26" s="154"/>
      <c r="G26" s="36"/>
      <c r="H26" s="30"/>
      <c r="I26" s="30"/>
      <c r="J26" s="154"/>
    </row>
    <row r="27" spans="1:10" ht="12.75">
      <c r="A27" s="43" t="s">
        <v>437</v>
      </c>
      <c r="B27" s="36"/>
      <c r="C27" s="30"/>
      <c r="D27" s="30"/>
      <c r="E27" s="154"/>
      <c r="F27" s="43" t="s">
        <v>437</v>
      </c>
      <c r="G27" s="36"/>
      <c r="H27" s="30"/>
      <c r="I27" s="30"/>
      <c r="J27" s="154"/>
    </row>
    <row r="28" spans="2:10" ht="12.75">
      <c r="B28" s="36"/>
      <c r="C28" s="30"/>
      <c r="D28" s="30"/>
      <c r="E28" s="154"/>
      <c r="G28" s="36"/>
      <c r="H28" s="30"/>
      <c r="I28" s="30"/>
      <c r="J28" s="154"/>
    </row>
    <row r="29" spans="2:10" ht="12.75">
      <c r="B29" s="36"/>
      <c r="C29" s="30"/>
      <c r="D29" s="30"/>
      <c r="E29" s="154"/>
      <c r="G29" s="36"/>
      <c r="H29" s="30"/>
      <c r="I29" s="30"/>
      <c r="J29" s="154"/>
    </row>
    <row r="30" spans="2:10" ht="12.75">
      <c r="B30" s="36"/>
      <c r="C30" s="30"/>
      <c r="D30" s="30"/>
      <c r="E30" s="154"/>
      <c r="G30" s="36"/>
      <c r="H30" s="30"/>
      <c r="I30" s="30"/>
      <c r="J30" s="154"/>
    </row>
    <row r="31" spans="2:10" ht="12.75">
      <c r="B31" s="36"/>
      <c r="C31" s="30"/>
      <c r="D31" s="30"/>
      <c r="E31" s="154"/>
      <c r="I31" s="30"/>
      <c r="J31" s="154"/>
    </row>
    <row r="32" spans="2:10" ht="12.75">
      <c r="B32" s="36"/>
      <c r="C32" s="30"/>
      <c r="D32" s="30"/>
      <c r="E32" s="154"/>
      <c r="G32" s="36"/>
      <c r="H32" s="30"/>
      <c r="I32" s="30"/>
      <c r="J32" s="154"/>
    </row>
    <row r="33" spans="1:10" ht="12.75">
      <c r="A33" s="43" t="s">
        <v>438</v>
      </c>
      <c r="B33" s="36"/>
      <c r="C33" s="30" t="s">
        <v>439</v>
      </c>
      <c r="D33" s="30"/>
      <c r="E33" s="154"/>
      <c r="F33" s="43" t="s">
        <v>440</v>
      </c>
      <c r="G33" s="36"/>
      <c r="H33" s="30" t="s">
        <v>441</v>
      </c>
      <c r="I33" s="30"/>
      <c r="J33" s="154"/>
    </row>
    <row r="34" spans="2:10" ht="12.75">
      <c r="B34" s="36"/>
      <c r="C34" s="30"/>
      <c r="D34" s="30"/>
      <c r="E34" s="154"/>
      <c r="G34" s="36"/>
      <c r="H34" s="30"/>
      <c r="I34" s="30"/>
      <c r="J34" s="154"/>
    </row>
    <row r="35" spans="2:10" ht="12.75">
      <c r="B35" s="36"/>
      <c r="C35" s="30"/>
      <c r="D35" s="30"/>
      <c r="E35" s="154"/>
      <c r="G35" s="36"/>
      <c r="H35" s="30"/>
      <c r="I35" s="30"/>
      <c r="J35" s="154"/>
    </row>
    <row r="36" spans="4:10" ht="12.75">
      <c r="D36" s="30"/>
      <c r="E36" s="154"/>
      <c r="I36" s="30"/>
      <c r="J36" s="154"/>
    </row>
    <row r="37" spans="2:10" ht="12.75">
      <c r="B37" s="36"/>
      <c r="C37" s="30"/>
      <c r="D37" s="30"/>
      <c r="E37" s="154"/>
      <c r="G37" s="36"/>
      <c r="H37" s="30"/>
      <c r="I37" s="30"/>
      <c r="J37" s="154"/>
    </row>
    <row r="38" spans="3:10" ht="12.75">
      <c r="C38" s="30"/>
      <c r="D38" s="30"/>
      <c r="E38" s="154"/>
      <c r="H38" s="30"/>
      <c r="I38" s="30"/>
      <c r="J38" s="154"/>
    </row>
    <row r="39" spans="3:10" ht="12.75">
      <c r="C39" s="30"/>
      <c r="D39" s="30"/>
      <c r="E39" s="154"/>
      <c r="H39" s="30"/>
      <c r="I39" s="30"/>
      <c r="J39" s="154"/>
    </row>
    <row r="40" spans="3:10" ht="12.75">
      <c r="C40" s="30"/>
      <c r="D40" s="30"/>
      <c r="E40" s="154"/>
      <c r="H40" s="30"/>
      <c r="I40" s="30"/>
      <c r="J40" s="154"/>
    </row>
    <row r="41" spans="3:10" ht="12.75">
      <c r="C41" s="30"/>
      <c r="D41" s="30"/>
      <c r="E41" s="154"/>
      <c r="H41" s="30"/>
      <c r="I41" s="30"/>
      <c r="J41" s="154"/>
    </row>
    <row r="42" spans="3:10" ht="12.75">
      <c r="C42" s="30"/>
      <c r="D42" s="30"/>
      <c r="E42" s="154"/>
      <c r="H42" s="30"/>
      <c r="I42" s="30"/>
      <c r="J42" s="154"/>
    </row>
    <row r="43" spans="3:10" ht="12.75">
      <c r="C43" s="30"/>
      <c r="D43" s="30"/>
      <c r="E43" s="154"/>
      <c r="F43" s="43" t="s">
        <v>442</v>
      </c>
      <c r="H43" s="30"/>
      <c r="I43" s="30"/>
      <c r="J43" s="154"/>
    </row>
    <row r="44" spans="3:10" ht="12.75">
      <c r="C44" s="30"/>
      <c r="D44" s="30"/>
      <c r="E44" s="154"/>
      <c r="F44" s="43" t="s">
        <v>171</v>
      </c>
      <c r="H44" s="30"/>
      <c r="I44" s="30"/>
      <c r="J44" s="154"/>
    </row>
    <row r="45" spans="3:10" ht="12.75">
      <c r="C45" s="30"/>
      <c r="D45" s="30"/>
      <c r="E45" s="154"/>
      <c r="H45" s="30"/>
      <c r="I45" s="30"/>
      <c r="J45" s="154"/>
    </row>
    <row r="46" spans="3:10" ht="12.75">
      <c r="C46" s="30"/>
      <c r="D46" s="30"/>
      <c r="E46" s="154"/>
      <c r="H46" s="30"/>
      <c r="I46" s="30"/>
      <c r="J46" s="154"/>
    </row>
    <row r="47" spans="2:9" ht="12.75">
      <c r="B47" s="30"/>
      <c r="C47" s="30"/>
      <c r="D47" s="154"/>
      <c r="G47" s="30"/>
      <c r="H47" s="30"/>
      <c r="I47" s="154"/>
    </row>
    <row r="48" spans="2:9" ht="12.75">
      <c r="B48" s="30"/>
      <c r="C48" s="30"/>
      <c r="D48" s="154"/>
      <c r="G48" s="30"/>
      <c r="H48" s="30"/>
      <c r="I48" s="154"/>
    </row>
    <row r="49" spans="2:9" ht="12.75">
      <c r="B49" s="30"/>
      <c r="C49" s="30"/>
      <c r="D49" s="154"/>
      <c r="G49" s="30"/>
      <c r="H49" s="30"/>
      <c r="I49" s="154"/>
    </row>
    <row r="50" spans="2:9" ht="12.75">
      <c r="B50" s="30"/>
      <c r="C50" s="30"/>
      <c r="D50" s="154"/>
      <c r="G50" s="30"/>
      <c r="H50" s="30"/>
      <c r="I50" s="154"/>
    </row>
    <row r="51" spans="2:9" ht="12.75">
      <c r="B51" s="30"/>
      <c r="C51" s="30"/>
      <c r="D51" s="154"/>
      <c r="G51" s="30"/>
      <c r="H51" s="30"/>
      <c r="I51" s="154"/>
    </row>
    <row r="52" spans="2:9" ht="12.75">
      <c r="B52" s="30"/>
      <c r="C52" s="30"/>
      <c r="D52" s="154"/>
      <c r="G52" s="30"/>
      <c r="H52" s="30"/>
      <c r="I52" s="154"/>
    </row>
    <row r="53" spans="2:9" ht="12.75">
      <c r="B53" s="30"/>
      <c r="D53" s="154"/>
      <c r="G53" s="30"/>
      <c r="I53" s="154"/>
    </row>
    <row r="54" spans="2:9" ht="12.75">
      <c r="B54" s="30"/>
      <c r="D54" s="154"/>
      <c r="G54" s="30"/>
      <c r="I54" s="154"/>
    </row>
    <row r="55" spans="2:9" ht="12.75">
      <c r="B55" s="30"/>
      <c r="D55" s="154"/>
      <c r="G55" s="30"/>
      <c r="I55" s="154"/>
    </row>
    <row r="56" spans="2:9" ht="12.75">
      <c r="B56" s="30"/>
      <c r="D56" s="154"/>
      <c r="G56" s="30"/>
      <c r="I56" s="154"/>
    </row>
    <row r="57" spans="2:9" ht="12.75">
      <c r="B57" s="30"/>
      <c r="D57" s="154"/>
      <c r="G57" s="30"/>
      <c r="I57" s="154"/>
    </row>
    <row r="58" spans="2:9" ht="12.75">
      <c r="B58" s="30"/>
      <c r="D58" s="154"/>
      <c r="G58" s="30"/>
      <c r="I58" s="154"/>
    </row>
    <row r="59" spans="2:9" ht="12.75">
      <c r="B59" s="30"/>
      <c r="D59" s="154"/>
      <c r="G59" s="30"/>
      <c r="I59" s="154"/>
    </row>
    <row r="60" spans="2:9" ht="12.75">
      <c r="B60" s="30"/>
      <c r="D60" s="154"/>
      <c r="G60" s="30"/>
      <c r="I60" s="154"/>
    </row>
    <row r="61" spans="2:9" ht="12.75">
      <c r="B61" s="30"/>
      <c r="D61" s="154"/>
      <c r="G61" s="30"/>
      <c r="I61" s="154"/>
    </row>
    <row r="62" spans="2:9" ht="12.75">
      <c r="B62" s="30"/>
      <c r="D62" s="154"/>
      <c r="G62" s="30"/>
      <c r="I62" s="154"/>
    </row>
    <row r="63" spans="2:9" ht="12.75">
      <c r="B63" s="30"/>
      <c r="D63" s="154"/>
      <c r="G63" s="30"/>
      <c r="I63" s="154"/>
    </row>
    <row r="64" spans="2:9" ht="12.75">
      <c r="B64" s="30"/>
      <c r="D64" s="154"/>
      <c r="G64" s="30"/>
      <c r="I64" s="154"/>
    </row>
    <row r="65" spans="2:9" ht="12.75">
      <c r="B65" s="30"/>
      <c r="D65" s="154"/>
      <c r="G65" s="30"/>
      <c r="I65" s="154"/>
    </row>
    <row r="66" spans="2:9" ht="12.75">
      <c r="B66" s="30"/>
      <c r="D66" s="154"/>
      <c r="G66" s="30"/>
      <c r="I66" s="154"/>
    </row>
    <row r="67" spans="2:9" ht="12.75">
      <c r="B67" s="30"/>
      <c r="D67" s="154"/>
      <c r="G67" s="30"/>
      <c r="I67" s="154"/>
    </row>
    <row r="68" spans="2:9" ht="12.75">
      <c r="B68" s="30"/>
      <c r="D68" s="154"/>
      <c r="G68" s="30"/>
      <c r="I68" s="154"/>
    </row>
    <row r="69" spans="2:9" ht="12.75">
      <c r="B69" s="30"/>
      <c r="D69" s="154"/>
      <c r="G69" s="30"/>
      <c r="I69" s="154"/>
    </row>
    <row r="70" spans="2:9" ht="12.75">
      <c r="B70" s="30"/>
      <c r="D70" s="154"/>
      <c r="G70" s="30"/>
      <c r="I70" s="154"/>
    </row>
    <row r="71" spans="2:9" ht="12.75">
      <c r="B71" s="30"/>
      <c r="D71" s="154"/>
      <c r="G71" s="30"/>
      <c r="I71" s="154"/>
    </row>
    <row r="72" spans="2:9" ht="12.75">
      <c r="B72" s="30"/>
      <c r="D72" s="154"/>
      <c r="G72" s="30"/>
      <c r="I72" s="154"/>
    </row>
    <row r="73" spans="2:9" ht="12.75">
      <c r="B73" s="30"/>
      <c r="D73" s="154"/>
      <c r="G73" s="30"/>
      <c r="I73" s="154"/>
    </row>
    <row r="74" spans="2:9" ht="12.75">
      <c r="B74" s="30"/>
      <c r="D74" s="154"/>
      <c r="G74" s="30"/>
      <c r="I74" s="154"/>
    </row>
    <row r="75" spans="2:9" ht="12.75">
      <c r="B75" s="30"/>
      <c r="D75" s="154"/>
      <c r="G75" s="30"/>
      <c r="I75" s="154"/>
    </row>
    <row r="76" spans="2:9" ht="12.75">
      <c r="B76" s="30"/>
      <c r="D76" s="154"/>
      <c r="G76" s="30"/>
      <c r="I76" s="154"/>
    </row>
    <row r="77" spans="2:9" ht="12.75">
      <c r="B77" s="30"/>
      <c r="D77" s="154"/>
      <c r="G77" s="30"/>
      <c r="I77" s="154"/>
    </row>
    <row r="78" spans="2:9" ht="12.75">
      <c r="B78" s="30"/>
      <c r="D78" s="154"/>
      <c r="G78" s="30"/>
      <c r="I78" s="154"/>
    </row>
    <row r="79" spans="2:9" ht="12.75">
      <c r="B79" s="30"/>
      <c r="D79" s="154"/>
      <c r="G79" s="30"/>
      <c r="I79" s="154"/>
    </row>
    <row r="80" spans="2:9" ht="12.75">
      <c r="B80" s="30"/>
      <c r="D80" s="154"/>
      <c r="G80" s="30"/>
      <c r="I80" s="154"/>
    </row>
    <row r="81" spans="2:9" ht="12.75">
      <c r="B81" s="30"/>
      <c r="D81" s="154"/>
      <c r="G81" s="30"/>
      <c r="I81" s="154"/>
    </row>
    <row r="82" spans="2:9" ht="12.75">
      <c r="B82" s="30"/>
      <c r="D82" s="154"/>
      <c r="G82" s="30"/>
      <c r="I82" s="154"/>
    </row>
    <row r="83" spans="2:9" ht="12.75">
      <c r="B83" s="30"/>
      <c r="D83" s="154"/>
      <c r="G83" s="30"/>
      <c r="I83" s="154"/>
    </row>
    <row r="84" spans="2:9" ht="12.75">
      <c r="B84" s="30"/>
      <c r="D84" s="154"/>
      <c r="G84" s="30"/>
      <c r="I84" s="154"/>
    </row>
    <row r="85" spans="2:9" ht="12.75">
      <c r="B85" s="30"/>
      <c r="D85" s="154"/>
      <c r="G85" s="30"/>
      <c r="I85" s="154"/>
    </row>
    <row r="86" spans="2:9" ht="12.75">
      <c r="B86" s="30"/>
      <c r="D86" s="154"/>
      <c r="G86" s="30"/>
      <c r="I86" s="154"/>
    </row>
    <row r="87" spans="2:9" ht="12.75">
      <c r="B87" s="30"/>
      <c r="D87" s="154"/>
      <c r="G87" s="30"/>
      <c r="I87" s="154"/>
    </row>
    <row r="88" spans="2:9" ht="12.75">
      <c r="B88" s="30"/>
      <c r="D88" s="154"/>
      <c r="G88" s="30"/>
      <c r="I88" s="154"/>
    </row>
    <row r="89" spans="2:9" ht="12.75">
      <c r="B89" s="30"/>
      <c r="D89" s="154"/>
      <c r="G89" s="30"/>
      <c r="I89" s="154"/>
    </row>
    <row r="90" spans="2:9" ht="12.75">
      <c r="B90" s="30"/>
      <c r="D90" s="154"/>
      <c r="G90" s="30"/>
      <c r="I90" s="154"/>
    </row>
    <row r="91" spans="2:9" ht="12.75">
      <c r="B91" s="30"/>
      <c r="D91" s="154"/>
      <c r="G91" s="30"/>
      <c r="I91" s="154"/>
    </row>
    <row r="92" spans="2:9" ht="12.75">
      <c r="B92" s="30"/>
      <c r="D92" s="154"/>
      <c r="G92" s="30"/>
      <c r="I92" s="154"/>
    </row>
    <row r="93" spans="2:9" ht="12.75">
      <c r="B93" s="30"/>
      <c r="D93" s="154"/>
      <c r="G93" s="30"/>
      <c r="I93" s="154"/>
    </row>
    <row r="94" spans="2:9" ht="12.75">
      <c r="B94" s="30"/>
      <c r="D94" s="154"/>
      <c r="G94" s="30"/>
      <c r="I94" s="154"/>
    </row>
    <row r="95" spans="2:9" ht="12.75">
      <c r="B95" s="30"/>
      <c r="D95" s="154"/>
      <c r="G95" s="30"/>
      <c r="I95" s="154"/>
    </row>
    <row r="96" spans="2:9" ht="12.75">
      <c r="B96" s="30"/>
      <c r="D96" s="154"/>
      <c r="G96" s="30"/>
      <c r="I96" s="154"/>
    </row>
    <row r="97" spans="2:9" ht="12.75">
      <c r="B97" s="30"/>
      <c r="D97" s="154"/>
      <c r="G97" s="30"/>
      <c r="I97" s="154"/>
    </row>
    <row r="98" spans="2:9" ht="12.75">
      <c r="B98" s="30"/>
      <c r="D98" s="154"/>
      <c r="G98" s="30"/>
      <c r="I98" s="154"/>
    </row>
    <row r="99" spans="2:9" ht="12.75">
      <c r="B99" s="30"/>
      <c r="D99" s="154"/>
      <c r="G99" s="30"/>
      <c r="I99" s="154"/>
    </row>
    <row r="100" spans="2:7" ht="12.75">
      <c r="B100" s="30"/>
      <c r="G100" s="30"/>
    </row>
    <row r="101" spans="2:7" ht="12.75">
      <c r="B101" s="30"/>
      <c r="G101" s="30"/>
    </row>
    <row r="102" spans="2:7" ht="12.75">
      <c r="B102" s="30"/>
      <c r="G102" s="30"/>
    </row>
    <row r="103" spans="2:7" ht="12.75">
      <c r="B103" s="30"/>
      <c r="G103" s="30"/>
    </row>
    <row r="104" spans="2:7" ht="12.75">
      <c r="B104" s="30"/>
      <c r="G104" s="30"/>
    </row>
    <row r="105" spans="2:7" ht="12.75">
      <c r="B105" s="30"/>
      <c r="G105" s="30"/>
    </row>
    <row r="106" spans="2:7" ht="12.75">
      <c r="B106" s="30"/>
      <c r="G106" s="30"/>
    </row>
    <row r="107" spans="2:7" ht="12.75">
      <c r="B107" s="30"/>
      <c r="G107" s="30"/>
    </row>
    <row r="108" spans="2:7" ht="12.75">
      <c r="B108" s="30"/>
      <c r="G108" s="30"/>
    </row>
  </sheetData>
  <mergeCells count="5">
    <mergeCell ref="F5:I5"/>
    <mergeCell ref="A2:C2"/>
    <mergeCell ref="F2:I2"/>
    <mergeCell ref="A4:D4"/>
    <mergeCell ref="F4:J4"/>
  </mergeCells>
  <printOptions/>
  <pageMargins left="0.75" right="0.75" top="1" bottom="0.5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DaceL</dc:creator>
  <cp:keywords/>
  <dc:description/>
  <cp:lastModifiedBy>IlzeM</cp:lastModifiedBy>
  <cp:lastPrinted>2000-05-15T11:39:34Z</cp:lastPrinted>
  <dcterms:created xsi:type="dcterms:W3CDTF">2000-05-15T07:40:21Z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