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05" windowWidth="10860" windowHeight="6150" activeTab="2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ula" sheetId="12" r:id="rId12"/>
    <sheet name="12.tabula" sheetId="13" r:id="rId13"/>
    <sheet name="13.tabula" sheetId="14" r:id="rId14"/>
    <sheet name="14.tabula" sheetId="15" r:id="rId15"/>
    <sheet name="15.tabula" sheetId="16" r:id="rId16"/>
    <sheet name="16.tabula" sheetId="17" r:id="rId17"/>
    <sheet name="17.tabula" sheetId="18" r:id="rId18"/>
    <sheet name="18.tabula" sheetId="19" r:id="rId19"/>
    <sheet name="19.tabula" sheetId="20" r:id="rId20"/>
    <sheet name="20.tabula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2">'12.tabula'!$A$1:$E$59</definedName>
    <definedName name="_xlnm.Print_Area" localSheetId="13">'13.tabula'!$A$1:$F$48</definedName>
    <definedName name="_xlnm.Print_Area" localSheetId="14">'14.tabula'!$A$1:$E$48</definedName>
    <definedName name="_xlnm.Print_Area" localSheetId="15">'15.tabula'!$A$1:$E$34</definedName>
    <definedName name="_xlnm.Print_Area" localSheetId="16">'16.tabula'!$A$1:$E$49</definedName>
    <definedName name="_xlnm.Print_Titles" localSheetId="11">'11.tabula'!$5:$7</definedName>
    <definedName name="_xlnm.Print_Titles" localSheetId="17">'17.tabula'!$8:$11</definedName>
    <definedName name="_xlnm.Print_Titles" localSheetId="18">'18.tabula'!$8:$11</definedName>
    <definedName name="_xlnm.Print_Titles" localSheetId="20">'20.tabula'!$7:$9</definedName>
  </definedNames>
  <calcPr fullCalcOnLoad="1"/>
</workbook>
</file>

<file path=xl/sharedStrings.xml><?xml version="1.0" encoding="utf-8"?>
<sst xmlns="http://schemas.openxmlformats.org/spreadsheetml/2006/main" count="2435" uniqueCount="752">
  <si>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</si>
  <si>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</si>
  <si>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</si>
  <si>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</si>
  <si>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</si>
  <si>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</si>
  <si>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 mērķdotā-cijas </t>
  </si>
  <si>
    <t>Mērķdotācijas teritoriālplānošanai</t>
  </si>
  <si>
    <t>Mērķdotācijas
 kopā              (2+3+4+5+6+7+8)</t>
  </si>
  <si>
    <t>1999.g.</t>
  </si>
  <si>
    <t>2000.g.</t>
  </si>
  <si>
    <t>11. tabula</t>
  </si>
  <si>
    <t xml:space="preserve">Pašvaldību konsolidētā budžeta izpilde </t>
  </si>
  <si>
    <t xml:space="preserve">   ( 2000. gada  janvāris - marts )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</si>
  <si>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</si>
  <si>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</si>
  <si>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</si>
  <si>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</si>
  <si>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</si>
  <si>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</si>
  <si>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</si>
  <si>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</si>
  <si>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</si>
  <si>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</si>
  <si>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</si>
  <si>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</si>
  <si>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</si>
  <si>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</si>
  <si>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</si>
  <si>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</si>
  <si>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</si>
  <si>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</si>
  <si>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</si>
  <si>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</si>
  <si>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</si>
  <si>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</si>
  <si>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</si>
  <si>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</si>
  <si>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</si>
  <si>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</si>
  <si>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</si>
  <si>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</si>
  <si>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</si>
  <si>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(neto) </t>
  </si>
  <si>
    <t xml:space="preserve">     Pašvaldību pamatbudžeta aizdevumi (neto)</t>
  </si>
  <si>
    <t xml:space="preserve">     Pašvaldību pamatbudžeta aizdevumu atmaksas (neto)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</si>
  <si>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</si>
  <si>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</si>
  <si>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</si>
  <si>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</si>
  <si>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</si>
  <si>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</si>
  <si>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</si>
  <si>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</si>
  <si>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</si>
  <si>
    <t>C.5.Pašvaldību speciālā budžeta fiskālais deficīts (-), pārpalikums (+), (C.3. - C.4.)</t>
  </si>
  <si>
    <t xml:space="preserve"> Valsts kases pārvaldnieks                                                            __________________________ </t>
  </si>
  <si>
    <t>Valsts kases oficiālais mēneša pārskats par valsts kopbudžeta izpildi
(2000. gada janvāris - marts)</t>
  </si>
  <si>
    <t xml:space="preserve">                (tūkst.latu)</t>
  </si>
  <si>
    <t>Rādītāji</t>
  </si>
  <si>
    <t>Konsolidētais
valsts budžets*</t>
  </si>
  <si>
    <t>Konsolidētais
pašvaldību budžets</t>
  </si>
  <si>
    <t>Konsolidētais kopbudžets</t>
  </si>
  <si>
    <t>Marta izpilde</t>
  </si>
  <si>
    <t>1. Ieņēmumi (bruto)</t>
  </si>
  <si>
    <t>mīnus transferts no valsts pamatbudžeta pašvaldību budžetos</t>
  </si>
  <si>
    <t>x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</si>
  <si>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</si>
  <si>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</si>
  <si>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</si>
  <si>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</si>
  <si>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</si>
  <si>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</si>
  <si>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</si>
  <si>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</si>
  <si>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</si>
  <si>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</si>
  <si>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</si>
  <si>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</si>
  <si>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</si>
  <si>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</si>
  <si>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</si>
  <si>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</si>
  <si>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</si>
  <si>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</si>
  <si>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</si>
  <si>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</si>
  <si>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</si>
  <si>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</si>
  <si>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</si>
  <si>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 xml:space="preserve">         Depozītu apjoma izmaiņas</t>
  </si>
  <si>
    <t>Norēķinu kontu
atlikumu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</si>
  <si>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</si>
  <si>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</si>
  <si>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</si>
  <si>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 **</t>
  </si>
  <si>
    <t>6.2. Ārējā finansēšana</t>
  </si>
  <si>
    <t>* ieskaitot budžeta iestāžu saņemtos ziedojumus, dāvinājumus un pārējo ārvalstu finansu palīdzību</t>
  </si>
  <si>
    <t>** dati mainīti saskaņā ar metodoloģijas izmaiņām</t>
  </si>
  <si>
    <t>Valsts kases pārvaldnieks                                                                            A.Veiss</t>
  </si>
  <si>
    <t>Valsts kase/Pārskatu departaments</t>
  </si>
  <si>
    <t>2000.gada 15.aprīlis</t>
  </si>
  <si>
    <t xml:space="preserve">Valsts kases oficiālais mēneša pārskats </t>
  </si>
  <si>
    <t>10. tabula</t>
  </si>
  <si>
    <t>10.tabula</t>
  </si>
  <si>
    <t xml:space="preserve">Arvalstu finansu palīdzība </t>
  </si>
  <si>
    <t xml:space="preserve">Ārvalstu finansu palīdzības un valsts budžeta līdzdalības maksājumi </t>
  </si>
  <si>
    <t>(2000.gada janvāris - marts)</t>
  </si>
  <si>
    <t>(latos)</t>
  </si>
  <si>
    <t>(tūkst. latu)</t>
  </si>
  <si>
    <t>Likumā apstiprinātais gada plāns</t>
  </si>
  <si>
    <t xml:space="preserve">Finansēšanas plāns pārskata periodam </t>
  </si>
  <si>
    <t>Izpilde no gada sākuma</t>
  </si>
  <si>
    <t>Izpilde % pret gada plānu (4/2)</t>
  </si>
  <si>
    <t>Izpilde % pret finansēša-nas plānu pārskata periodam 
  (4/3)</t>
  </si>
  <si>
    <t>Februāra izpilde</t>
  </si>
  <si>
    <t xml:space="preserve">   1. Ārvalstu finansu palīdzība
un valsts pamatbudžeta 
līdzdalības maksājumi kopā</t>
  </si>
  <si>
    <t>Ārvalstu finansu palīdzība</t>
  </si>
  <si>
    <t xml:space="preserve">     Uzturēšanas izdevumi</t>
  </si>
  <si>
    <t xml:space="preserve">     Izdevumi kapitālieguldījumiem</t>
  </si>
  <si>
    <t>Valsts pamatbudžets</t>
  </si>
  <si>
    <t>Ministru Kabinets</t>
  </si>
  <si>
    <t xml:space="preserve">  Ārvalstu finansu palīdzība</t>
  </si>
  <si>
    <t xml:space="preserve">  Valsts pamatbudžets</t>
  </si>
  <si>
    <t>Ekonomikas ministrija</t>
  </si>
  <si>
    <t>Finansu ministrija</t>
  </si>
  <si>
    <t>Iekšlietu ministrija</t>
  </si>
  <si>
    <t>Izglītības un zinātnes ministrija</t>
  </si>
  <si>
    <t>Zemkopības ministrija</t>
  </si>
  <si>
    <t>Satiksmes ministrija</t>
  </si>
  <si>
    <t>Labklājības ministrija</t>
  </si>
  <si>
    <t xml:space="preserve">Tieslietu ministrija </t>
  </si>
  <si>
    <t>Vides aizsardzības un reģionālās 
attīstības ministrija</t>
  </si>
  <si>
    <t>Īpašu uzdevumu ministra sadarbībai  ar starptautiskajām finansu institūcijām sekretariāts</t>
  </si>
  <si>
    <t>Īpašu uzdevumu ministra valsts pārvaldes  un  pašvaldību  reformas jautājumos 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</si>
  <si>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</si>
  <si>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</si>
  <si>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</si>
  <si>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</si>
  <si>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</si>
  <si>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Valsts kases pārvaldnieks ________________________________________ (A.Veiss)</t>
  </si>
  <si>
    <t xml:space="preserve">        (paraksts)</t>
  </si>
  <si>
    <t>Valsts kase / Pārskatu departaments</t>
  </si>
  <si>
    <t>2000. gada 15.janvārī</t>
  </si>
  <si>
    <t>2000. gada 15.aprīlī</t>
  </si>
  <si>
    <t>1.tabula</t>
  </si>
  <si>
    <t xml:space="preserve"> Valsts kases oficiālais mēneša pārskats</t>
  </si>
  <si>
    <t>Valsts konsolidētā budžeta izpilde (2000.gada janvāris)</t>
  </si>
  <si>
    <t>Valsts konsolidētā budžeta izpilde (2000. gada janvāris - marts)</t>
  </si>
  <si>
    <t>(tūkst.latu)</t>
  </si>
  <si>
    <t>Izpilde  % pret gada plānu         (3/2)</t>
  </si>
  <si>
    <t xml:space="preserve">Janvāra  izpilde </t>
  </si>
  <si>
    <t xml:space="preserve">Marta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</si>
  <si>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</si>
  <si>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</si>
  <si>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</si>
  <si>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</si>
  <si>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</si>
  <si>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</si>
  <si>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</si>
  <si>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</si>
  <si>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</si>
  <si>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</si>
  <si>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</si>
  <si>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</si>
  <si>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</si>
  <si>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</si>
  <si>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</si>
  <si>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</si>
  <si>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</si>
  <si>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</si>
  <si>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</si>
  <si>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</si>
  <si>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Ārvalstu finansu palīdzība</t>
  </si>
  <si>
    <t xml:space="preserve">             Pārējie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</si>
  <si>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</si>
  <si>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</si>
  <si>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</si>
  <si>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</si>
  <si>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</si>
  <si>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</si>
  <si>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</si>
  <si>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</si>
  <si>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</si>
  <si>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</si>
  <si>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</si>
  <si>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</si>
  <si>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</si>
  <si>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</si>
  <si>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</si>
  <si>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</si>
  <si>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</si>
  <si>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</si>
  <si>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</si>
  <si>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</si>
  <si>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</si>
  <si>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</si>
  <si>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</si>
  <si>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</si>
  <si>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</si>
  <si>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</si>
  <si>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</si>
  <si>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</si>
  <si>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</si>
  <si>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</si>
  <si>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</si>
  <si>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</si>
  <si>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</si>
  <si>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</si>
  <si>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</si>
  <si>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</si>
  <si>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</si>
  <si>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</si>
  <si>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</si>
  <si>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</si>
  <si>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</si>
  <si>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</si>
  <si>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</si>
  <si>
    <t xml:space="preserve">Valsts kases pārvaldnieks ______________________________  (A.Veiss)                                                                    </t>
  </si>
  <si>
    <t>1999.gada 15.oktobris</t>
  </si>
  <si>
    <t>2.tabula</t>
  </si>
  <si>
    <t>Valsts kases oficiālais mēneša pārskats</t>
  </si>
  <si>
    <t xml:space="preserve">                    Valsts kases oficiālais mēneša pārskats</t>
  </si>
  <si>
    <t xml:space="preserve">             Valsts kases oficiālais mēneša pārskats</t>
  </si>
  <si>
    <t>Valsts pamatbudžeta ieņēmumi (2000.gada janvāris- februāris )</t>
  </si>
  <si>
    <t xml:space="preserve">Valsts pamatbudžeta ieņēmumi </t>
  </si>
  <si>
    <t>(2000.gada janvāris - marts )</t>
  </si>
  <si>
    <t>(2000.gada janvāris - februāris )</t>
  </si>
  <si>
    <t>Gada sagaidāmā izpilde %</t>
  </si>
  <si>
    <t>Izpilde % pret gada plānu            (4/2)</t>
  </si>
  <si>
    <t>mēneša izpilde</t>
  </si>
  <si>
    <t>marts</t>
  </si>
  <si>
    <t>februāris</t>
  </si>
  <si>
    <t>1.Ieņēmumi - kopā  (1.1.+1.2.+1.3.+1.4)</t>
  </si>
  <si>
    <t>1.1. Nodokļu ieņēmumi</t>
  </si>
  <si>
    <t>99,92%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</si>
  <si>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</si>
  <si>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</si>
  <si>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</si>
  <si>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</si>
  <si>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</si>
  <si>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</si>
  <si>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</si>
  <si>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</si>
  <si>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>99,61%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</si>
  <si>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</si>
  <si>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</si>
  <si>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</si>
  <si>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</si>
  <si>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>Speciāliem mērķiem paredzētās nodevas</t>
  </si>
  <si>
    <t xml:space="preserve">   Speciāliem mērķiem paredzētās nodevas</t>
  </si>
  <si>
    <t xml:space="preserve">   Ienākumi no valsts īpašuma iznomāšanas</t>
  </si>
  <si>
    <t xml:space="preserve">   Ieņēmumi no valsts īpašuma iznomāšanas</t>
  </si>
  <si>
    <t xml:space="preserve">   Sodi un sankcijas</t>
  </si>
  <si>
    <t xml:space="preserve">   Pārējie nenodokļu ieņēmumi **</t>
  </si>
  <si>
    <t xml:space="preserve">  pārskaitījums valsts pamatbudžetā sociālās apdrošināšanas iemaksu administrēšanai</t>
  </si>
  <si>
    <t xml:space="preserve">  pārskaitījums valsts pamatbudžetā sociālās apdrošināšanas iemaksu administrēšanai un sporta nodarbību un brīvā  laika  pasākumiem</t>
  </si>
  <si>
    <t xml:space="preserve">   pārējie nenodokļu ieņēmumi</t>
  </si>
  <si>
    <t xml:space="preserve">   Citas iemaksas par nekustamo īpašumu</t>
  </si>
  <si>
    <t>t.sk. Ieņēmumi no Skrundas lokatora nomas maksas 50% apmērā</t>
  </si>
  <si>
    <t>1.3.Pašu ieņēmumi</t>
  </si>
  <si>
    <t xml:space="preserve">   Budžeta iestāžu ieņēmumi no maksas pakalpojumiem</t>
  </si>
  <si>
    <t>1.4. Ārvalstu finansu palīdzība</t>
  </si>
  <si>
    <t xml:space="preserve">1.4. Ārvalstu finansu palīdzība </t>
  </si>
  <si>
    <t>* - ieskaitot nodokli no īpašuma - 1803996,28  latu</t>
  </si>
  <si>
    <t>* - ieskaitot nodokli no īpašuma -  1804 tūkst. latu</t>
  </si>
  <si>
    <t>* - ieskaitot nodokli no īpašuma -  1 229 tūkst. latu</t>
  </si>
  <si>
    <t>** - ieskaitot procentus par valsts depozītu -  1059442,99  latu</t>
  </si>
  <si>
    <t>** - ieskaitot procentus par valsts depozītu -  1059 tūkst. latu</t>
  </si>
  <si>
    <t>** - ieskaitot procentus par valsts depozītu -  407 tūkst. latu</t>
  </si>
  <si>
    <t xml:space="preserve"> Nesadalītā ārvalstu finansu palīdzība - 13237527 latu</t>
  </si>
  <si>
    <t xml:space="preserve"> ārvalstu finansu palīdzība kontos -  12 869  tūkst.latu</t>
  </si>
  <si>
    <t xml:space="preserve"> Nesadalītā ārvalstu finansu palīdzība - 13 295 tūkst.latu</t>
  </si>
  <si>
    <t xml:space="preserve">  ( t.sk.atlikums uz 01.01.2000)</t>
  </si>
  <si>
    <t xml:space="preserve">        ( t.sk.atlikums uz 01.01.2000)</t>
  </si>
  <si>
    <t>Valsts kases pārvaldnieks________________________________________(A.Veiss)</t>
  </si>
  <si>
    <t>2000.gada 15. martā</t>
  </si>
  <si>
    <t>3.tabula</t>
  </si>
  <si>
    <t>Valsts pamatbudżeta izdevumi pa ministrijām un pasākumiem</t>
  </si>
  <si>
    <t xml:space="preserve">     Valsts pamatbudżeta izdevumi pa ministrijām un pasākumiem</t>
  </si>
  <si>
    <t>(2000.gada janvāris-marts)</t>
  </si>
  <si>
    <t>kopā ar ārvalstu  finansu palīdzību</t>
  </si>
  <si>
    <t>Izpilde % pret finansēšanas plānu pārskata periodam 
  (4/3)</t>
  </si>
  <si>
    <t xml:space="preserve">   Izdevumi - kopā </t>
  </si>
  <si>
    <t>Valsts Prezidenta kanceleja</t>
  </si>
  <si>
    <t>Valsts prezidenta kanceleja</t>
  </si>
  <si>
    <t>Saeima</t>
  </si>
  <si>
    <t>Aizsardzības ministrija</t>
  </si>
  <si>
    <t>Ārlietu ministrija</t>
  </si>
  <si>
    <t>Tieslietu ministrija</t>
  </si>
  <si>
    <t>Vides aizsardzības un reģionālās attīstības ministrija</t>
  </si>
  <si>
    <t>Kultūras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</si>
  <si>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</si>
  <si>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</si>
  <si>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</si>
  <si>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</si>
  <si>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</si>
  <si>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</si>
  <si>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</si>
  <si>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</si>
  <si>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Radio un televīzija</t>
  </si>
  <si>
    <t>Valsts cilvēktiesību birojs</t>
  </si>
  <si>
    <t>Īpašu uzdevumu ministra valsts pārvaldes  un  pašvaldību  reformu lietās  sekretariāts</t>
  </si>
  <si>
    <t>Mērķdotācijas pašvaldībām</t>
  </si>
  <si>
    <t>Dotācija pašvaldībām</t>
  </si>
  <si>
    <t>Valsts kases pārvaldnieks _________________________________________ (A.Veiss)</t>
  </si>
  <si>
    <t>2000. gada 15.aprīlis</t>
  </si>
  <si>
    <t>4.tabula</t>
  </si>
  <si>
    <t xml:space="preserve">           Valsts kases oficiālais mēneša pārskats</t>
  </si>
  <si>
    <t xml:space="preserve">Valsts pamatbudžeta ieņēmumu un izdevumu atšifrējums </t>
  </si>
  <si>
    <t xml:space="preserve">Valsts pamatbudžeta ieņēmumi un izdevumi  </t>
  </si>
  <si>
    <t>pēc ekonomiskās klasifikācijas</t>
  </si>
  <si>
    <t>Finansēšanas plāns pārskata periodam</t>
  </si>
  <si>
    <t>Izpilde % pret gada plānu      (4/2)</t>
  </si>
  <si>
    <t>Izpilde % pret finansēšanas plānu pārskata periodam       (4/3)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</si>
  <si>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</si>
  <si>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</si>
  <si>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</si>
  <si>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</si>
  <si>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</si>
  <si>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Ārvalstu finansu palīdzība </t>
  </si>
  <si>
    <t xml:space="preserve">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</si>
  <si>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</si>
  <si>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</si>
  <si>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</si>
  <si>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</si>
  <si>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</si>
  <si>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</si>
  <si>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</si>
  <si>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</si>
  <si>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</si>
  <si>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</si>
  <si>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Finansu ministrijas maksājumi par valsts    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</si>
  <si>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</si>
  <si>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</si>
  <si>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</si>
  <si>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</si>
  <si>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</si>
  <si>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t.sk.        speciālajam budžetam</t>
  </si>
  <si>
    <t xml:space="preserve">                 t.sk.speciālajam budžetam</t>
  </si>
  <si>
    <t xml:space="preserve"> pārējiem</t>
  </si>
  <si>
    <t xml:space="preserve">           pārējiem</t>
  </si>
  <si>
    <t xml:space="preserve">     dotācijas iedzīvotājiem</t>
  </si>
  <si>
    <t xml:space="preserve">              t.sk.          pensijas </t>
  </si>
  <si>
    <t xml:space="preserve">                 t.sk.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</si>
  <si>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</si>
  <si>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</si>
  <si>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</si>
  <si>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</si>
  <si>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</si>
  <si>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pārējie</t>
  </si>
  <si>
    <t xml:space="preserve">   iemaksas starptautiskajās organizācijās</t>
  </si>
  <si>
    <t>2.2.Izdevumi kapitālieguldījumiem</t>
  </si>
  <si>
    <t>Kapitālie izdevumi kopā</t>
  </si>
  <si>
    <t>Kapitālie izdevumi</t>
  </si>
  <si>
    <t>Investīcijas kopā</t>
  </si>
  <si>
    <t>Investīcijas</t>
  </si>
  <si>
    <t>t.sk. speciālajam budžetam</t>
  </si>
  <si>
    <t>t.sk. pašvaldību budžetam</t>
  </si>
  <si>
    <t>3. Valsts budžeta tīrie aizdevumi (3.1.-3.2.)</t>
  </si>
  <si>
    <t>3.1.Valsts budžeta aizdevumi</t>
  </si>
  <si>
    <t>t.sk.speciālajam budžetam</t>
  </si>
  <si>
    <t>3.2.Valsts budžeta aizdevumu atmaksas</t>
  </si>
  <si>
    <t>t.sk. no speciālā budžeta</t>
  </si>
  <si>
    <t xml:space="preserve">Fiskālā bilance </t>
  </si>
  <si>
    <t>Finansēšana</t>
  </si>
  <si>
    <t>ieņēmumi no valsts īpašuma privatizācijas</t>
  </si>
  <si>
    <t xml:space="preserve">ieņēmumi no valsts īpašuma pārdošanas </t>
  </si>
  <si>
    <t xml:space="preserve">citi finansēšanas avoti </t>
  </si>
  <si>
    <t>Valsts kases pārvaldnieks _______________________________________ (A.Veiss)</t>
  </si>
  <si>
    <t>2000.gada 15.martā</t>
  </si>
  <si>
    <t>5.tabula</t>
  </si>
  <si>
    <t xml:space="preserve">Valsts speciālā budžeta ieņēmumi un izdevumi pa ministrijām </t>
  </si>
  <si>
    <t>(2000.gada  janvāris - marts )</t>
  </si>
  <si>
    <t>latos</t>
  </si>
  <si>
    <t xml:space="preserve"> (tūkst.latu)</t>
  </si>
  <si>
    <t>Izpilde % pret gada plānu 
   (4/2)</t>
  </si>
  <si>
    <t>Marta  izpilde</t>
  </si>
  <si>
    <t>Finansēšanas plāns</t>
  </si>
  <si>
    <t xml:space="preserve">Ieņēmumi - kopā  </t>
  </si>
  <si>
    <t>Izdevumi - kopā</t>
  </si>
  <si>
    <t xml:space="preserve">        Uzturēšanas izdevumi </t>
  </si>
  <si>
    <t xml:space="preserve">        Uzturēšanas izdevumi  </t>
  </si>
  <si>
    <t xml:space="preserve">        Izdevumi kapitālieguldījumiem</t>
  </si>
  <si>
    <t>Valsts budžeta aizdevumi</t>
  </si>
  <si>
    <t>Valsts budžeta aizdevumu atmaksas</t>
  </si>
  <si>
    <t>Fiskālā bilance</t>
  </si>
  <si>
    <t>Aizņēmums no pamatbudžeta</t>
  </si>
  <si>
    <t>Centrālā dzīvojamo māju privatizācijas komisija</t>
  </si>
  <si>
    <t>Ieņēmumi</t>
  </si>
  <si>
    <t xml:space="preserve">       Atskaitījumi no valsts īpašuma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</si>
  <si>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</si>
  <si>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</si>
  <si>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</si>
  <si>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</t>
  </si>
  <si>
    <t xml:space="preserve">    Pārējie maksājumi</t>
  </si>
  <si>
    <t>Noguldījumu garantiju fonda veidošana, pārvaldīšana un izlietošana</t>
  </si>
  <si>
    <t xml:space="preserve">   Atskaitījumi no bankām</t>
  </si>
  <si>
    <t xml:space="preserve">   Atskaitījumi no komercbankām</t>
  </si>
  <si>
    <t xml:space="preserve">   Uzturēšanas izdevumi</t>
  </si>
  <si>
    <t>Augstas klases sasniegumu sports</t>
  </si>
  <si>
    <t xml:space="preserve">    Valsts pamatbudžeta dotācija</t>
  </si>
  <si>
    <t xml:space="preserve">    Uzturēšanas izdevumi</t>
  </si>
  <si>
    <t xml:space="preserve">               t.sk. aizņēmumu atmaksa</t>
  </si>
  <si>
    <t xml:space="preserve">           t.sk. aizņēmumu atmaksa</t>
  </si>
  <si>
    <t xml:space="preserve">    Izdevumi kapitālieguldījumiem</t>
  </si>
  <si>
    <t xml:space="preserve"> Studējošo un studiju kreditēšana</t>
  </si>
  <si>
    <t xml:space="preserve"> Zivju fonds</t>
  </si>
  <si>
    <t xml:space="preserve">   Maksa par rūpnieciskās zvejas tiesību nomu un izmantošanu</t>
  </si>
  <si>
    <t xml:space="preserve">   Pārējie ieņēmumi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</si>
  <si>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</si>
  <si>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</si>
  <si>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</si>
  <si>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Ārvalstu finansu palīdzība</t>
  </si>
  <si>
    <t xml:space="preserve">   Ārvalstu finansu palīdzība </t>
  </si>
  <si>
    <t xml:space="preserve">        Izdevumi kapitālieguldļjumiem</t>
  </si>
  <si>
    <t>Ostu attīstības fonds</t>
  </si>
  <si>
    <t xml:space="preserve">    Ostas un kuģošanas nodeva</t>
  </si>
  <si>
    <t>Izlidošanas nodeva</t>
  </si>
  <si>
    <t xml:space="preserve">        Aizņēmums no pamatbudžeta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</si>
  <si>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</si>
  <si>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</si>
  <si>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</si>
  <si>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</si>
  <si>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</si>
  <si>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</si>
  <si>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</si>
  <si>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</t>
  </si>
  <si>
    <t>Izdevumi  *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</si>
  <si>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</si>
  <si>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</si>
  <si>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</si>
  <si>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</si>
  <si>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</si>
  <si>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</si>
  <si>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</si>
  <si>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</si>
  <si>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</si>
  <si>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</si>
  <si>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</si>
  <si>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Kultūrkapitāla fonds</t>
  </si>
  <si>
    <t xml:space="preserve">   Ienākumi no akcīzes nodokļa par alkoholiskajiem dzērieniem</t>
  </si>
  <si>
    <t xml:space="preserve">   Ienākumi no akcīzes nodokļa par tabakas izstrādājumiem</t>
  </si>
  <si>
    <t>Īpašu uzdevumu ministra sadarbībai ar starptautiskajām finansu institūcijām sekretariāts</t>
  </si>
  <si>
    <t xml:space="preserve">   Ieņēmumi no finansu institūcijām sniegtajiem pakalpojumiem</t>
  </si>
  <si>
    <r>
      <t xml:space="preserve">* </t>
    </r>
    <r>
      <rPr>
        <i/>
        <sz val="10"/>
        <rFont val="Arial"/>
        <family val="2"/>
      </rPr>
      <t>konsolidēts par sociālās apdrošināšanas iekšējiem pārskaitījumiem  9133 (tūkst.latu)</t>
    </r>
  </si>
  <si>
    <t>Valsts kases pārvaldnieks _______________________________________  (A.Veiss)</t>
  </si>
  <si>
    <t xml:space="preserve">          Valsts kases oficiālais mēneša pārskats</t>
  </si>
  <si>
    <t>6.tabula</t>
  </si>
  <si>
    <t xml:space="preserve">                                  Valsts kases oficiālais mēneša pārskats</t>
  </si>
  <si>
    <t>Valsts speciālā budžeta ieņēmumi un izdevumi</t>
  </si>
  <si>
    <t xml:space="preserve">Valsts speciālā budžeta ieņēmumi un izdevumi </t>
  </si>
  <si>
    <t>Izpilde % pret finansē-šanas plānu pārskata periodam           (4/3)</t>
  </si>
  <si>
    <t>Izpilde % pret finansēšanas plānu pārskata periodam           (4/3)</t>
  </si>
  <si>
    <t>1.Ieņēmumi - kopā</t>
  </si>
  <si>
    <t>Īpašiem mērķiem iezīmēti ieņēmumi</t>
  </si>
  <si>
    <t>Maksas pakalpojumi un citi pašu ieņēmumi</t>
  </si>
  <si>
    <t>2.1.Uzturēšanas izdevumi</t>
  </si>
  <si>
    <t xml:space="preserve">     aizņēmumu atmaksa</t>
  </si>
  <si>
    <t xml:space="preserve">    procentu nomaksa par iekšējiem aizņēmumiem</t>
  </si>
  <si>
    <t xml:space="preserve">    procentu nomaksa par ārvalstu aizņēmumiem</t>
  </si>
  <si>
    <t xml:space="preserve">    dotācijas iedzīvotājiem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</si>
  <si>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</si>
  <si>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</si>
  <si>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</si>
  <si>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</si>
  <si>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</si>
  <si>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 xml:space="preserve">    dotācija valsts pamatbudžetam sociālās      apdrošināšanas iemaksu administrēšanai</t>
  </si>
  <si>
    <t>3.Valsts budžeta tīrie aizdevumi (3.1.-3.2.)</t>
  </si>
  <si>
    <t>Fiskālā bilance (1.-2.-3.)</t>
  </si>
  <si>
    <t>Valsts speciālā budžeta naudas līdzekļu atlikumu izmaiņas palielinājums (-) vai samazinājums (+)</t>
  </si>
  <si>
    <t xml:space="preserve">     Valsts kases oficiālais mēneša pārskats</t>
  </si>
  <si>
    <t>7.tabula</t>
  </si>
  <si>
    <t xml:space="preserve">                                              Valsts kases oficiālais mēneša pārskats</t>
  </si>
  <si>
    <t>Valsts speciālā budžeta (dāvinājumi un ziedojumi) ieņēmumi un izdevumi</t>
  </si>
  <si>
    <t xml:space="preserve">                                              (2000.gada janvāris - marts)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</si>
  <si>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</si>
  <si>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</si>
  <si>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</si>
  <si>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      personām</t>
  </si>
  <si>
    <t xml:space="preserve">   no ārvalstu juridiskajām un fiziskajām personām</t>
  </si>
  <si>
    <t>2.Izdevumi - kopā (2.1.+2.2.)</t>
  </si>
  <si>
    <t xml:space="preserve">    valsts sociālās apdrošināšanas obligātās iemaksas</t>
  </si>
  <si>
    <t xml:space="preserve">      preču un pakalpojumu izdevumi</t>
  </si>
  <si>
    <t xml:space="preserve">     t.sk. preču un pakalpojumu izdevumi</t>
  </si>
  <si>
    <t xml:space="preserve">          pārējie izdevumi</t>
  </si>
  <si>
    <t xml:space="preserve">            pārējie izdevumi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</si>
  <si>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</si>
  <si>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</si>
  <si>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</si>
  <si>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</si>
  <si>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>Fiskālā bilance (1.-2.)</t>
  </si>
  <si>
    <t>Naudas līdzekļu atlikumu izmaiņas palielinājums (-) vai samazinājums (+)</t>
  </si>
  <si>
    <t xml:space="preserve">                                               Valsts kases oficiālais mēneša pārskats</t>
  </si>
  <si>
    <t>8.tabula</t>
  </si>
  <si>
    <t xml:space="preserve">                         Valsts kases oficiālais mēneša pārskats</t>
  </si>
  <si>
    <t xml:space="preserve">                 Valsts pamatbudžeta izdevumi pēc valdības funkcijām</t>
  </si>
  <si>
    <t xml:space="preserve">                       ( 2000.gada janvāris - februāris)</t>
  </si>
  <si>
    <t xml:space="preserve">                       ( 2000.gada janvāris - marts)</t>
  </si>
  <si>
    <t>(latu)</t>
  </si>
  <si>
    <t>Valdības funkcijas kods</t>
  </si>
  <si>
    <t>Izpilde % pret gada plānu          (3/2)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</si>
  <si>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</si>
  <si>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</si>
  <si>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</si>
  <si>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</si>
  <si>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</si>
  <si>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</si>
  <si>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</si>
  <si>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</si>
  <si>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</si>
  <si>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</si>
  <si>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</si>
  <si>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</si>
  <si>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</si>
  <si>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>Pārējie izdevumi, kas nav atspoguļoti pamatgrupās *</t>
  </si>
  <si>
    <t>Pārējie izdevumi, kas nav atspoguļoti pamatgrupās  *</t>
  </si>
  <si>
    <t>* ieskaitot aizdevumus un atmaksas</t>
  </si>
  <si>
    <t>Valsts kases pārvaldnieks__________________________________</t>
  </si>
  <si>
    <t>A.Veiss</t>
  </si>
  <si>
    <t>Valsts kases pārvaldnieks________________________________</t>
  </si>
  <si>
    <t>(A.Veiss)</t>
  </si>
  <si>
    <t>Valsts kase /Pārskatu departaments</t>
  </si>
  <si>
    <t xml:space="preserve">                                                                 Valsts kases oficiālais mēneša pārskats</t>
  </si>
  <si>
    <t>9.tabula</t>
  </si>
  <si>
    <t xml:space="preserve">                                                      Valsts kases oficiālais mēneša pārskats</t>
  </si>
  <si>
    <t xml:space="preserve">                                                 Valsts speciālā budžeta izdevumi pēc valdības funkcijām</t>
  </si>
  <si>
    <t xml:space="preserve"> Valsts speciālā budžeta izdevumi pēc valdības funkcijām</t>
  </si>
  <si>
    <t xml:space="preserve">                                                                  (2000.gada janvāris - marts)</t>
  </si>
  <si>
    <t>Izdevumi no ziedojumiem un dāvinājumiem</t>
  </si>
  <si>
    <t>Izglītība       *</t>
  </si>
  <si>
    <t>Izglītība   *</t>
  </si>
  <si>
    <t xml:space="preserve">Pārējie izdevumi, kas nav atspoguļoti pamatgrupās </t>
  </si>
  <si>
    <t>* -  ieskaitot  tīros  aizdevumus</t>
  </si>
  <si>
    <t>Valsts kases pārvaldnieks_________________________________</t>
  </si>
  <si>
    <t xml:space="preserve">                                       Valsts kases oficiālais mēneša pārskats</t>
  </si>
  <si>
    <t>12. tabula</t>
  </si>
  <si>
    <t xml:space="preserve">      9.tabula</t>
  </si>
  <si>
    <t>Pašvaldību pamatbudžeta ieņēmumi</t>
  </si>
  <si>
    <t xml:space="preserve">( 2000. gada  janvāris - marts ) </t>
  </si>
  <si>
    <t>Gada plāns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</si>
  <si>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</si>
  <si>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</si>
  <si>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</si>
  <si>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</si>
  <si>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</si>
  <si>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</si>
  <si>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nodoklis* </t>
  </si>
  <si>
    <t xml:space="preserve">  Nekustamā īpašuma nodoklis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</si>
  <si>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</si>
  <si>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</si>
  <si>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</si>
  <si>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</si>
  <si>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</si>
  <si>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</si>
  <si>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</si>
  <si>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</si>
  <si>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</si>
  <si>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</si>
  <si>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</si>
  <si>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</si>
  <si>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</si>
  <si>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</si>
  <si>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</si>
  <si>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</si>
  <si>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</si>
  <si>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</si>
  <si>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</si>
  <si>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</si>
  <si>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</si>
  <si>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</si>
  <si>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</si>
  <si>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</si>
  <si>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</si>
  <si>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nesadalītais atlikums 1 482 tūkst.latu</t>
  </si>
  <si>
    <t>Valsts kases pārvaldnieks</t>
  </si>
  <si>
    <t>A. Veiss</t>
  </si>
  <si>
    <t xml:space="preserve">                                           Valsts kases oficiālais mēneša pārskats</t>
  </si>
  <si>
    <t>13. tabula</t>
  </si>
  <si>
    <t xml:space="preserve"> </t>
  </si>
  <si>
    <t xml:space="preserve">Pašvaldību pamatbudžeta izdevumi </t>
  </si>
  <si>
    <t>( 2000. gada  janvāris - marts )</t>
  </si>
  <si>
    <t xml:space="preserve">                               (tūkst.latu)</t>
  </si>
  <si>
    <t>2</t>
  </si>
  <si>
    <t>3</t>
  </si>
  <si>
    <t>4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</si>
  <si>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</si>
  <si>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</si>
  <si>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</si>
  <si>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</si>
  <si>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</si>
  <si>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</si>
  <si>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</si>
  <si>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</si>
  <si>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</si>
  <si>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</si>
  <si>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</si>
  <si>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</si>
  <si>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</si>
  <si>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</si>
  <si>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</si>
  <si>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</si>
  <si>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  53  tūkst.latu</t>
  </si>
  <si>
    <t xml:space="preserve">                     Valsts kases oficiālais mēneša pārskats</t>
  </si>
  <si>
    <t>14. tabula</t>
  </si>
  <si>
    <t>Pašvaldību pamatbudžeta izdevumu atšifrējums pēc ekonomiskās klasifikācijas</t>
  </si>
  <si>
    <t>( 2000. gada  janvāris - marts  )</t>
  </si>
  <si>
    <t xml:space="preserve">                                                             (tūkst.latu)</t>
  </si>
  <si>
    <t>2.Izdevumi  kopā (2.1. +2.2.)</t>
  </si>
  <si>
    <t>0010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</si>
  <si>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</si>
  <si>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</si>
  <si>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</si>
  <si>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</si>
  <si>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</si>
  <si>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</si>
  <si>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</si>
  <si>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</si>
  <si>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</si>
  <si>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</si>
  <si>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</si>
  <si>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</si>
  <si>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</si>
  <si>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</si>
  <si>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</si>
  <si>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</si>
  <si>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</si>
  <si>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</si>
  <si>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</si>
  <si>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</si>
  <si>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15.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</si>
  <si>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</si>
  <si>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</si>
  <si>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</si>
  <si>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</si>
  <si>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</si>
  <si>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</si>
  <si>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</si>
  <si>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</si>
  <si>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</si>
  <si>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</si>
  <si>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</si>
  <si>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</si>
  <si>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>*   -   ieskaitot  tīros aizdevumus  -520  tūkst.latu</t>
  </si>
  <si>
    <t xml:space="preserve">          A. Veiss</t>
  </si>
  <si>
    <t xml:space="preserve">                            Valsts kases oficiālais mēneša pārskats </t>
  </si>
  <si>
    <t>16. tabula</t>
  </si>
  <si>
    <t>Pašvaldību speciālā budžeta izdevumu atšifrējums pēc ekonomiskās klasifikācijas</t>
  </si>
  <si>
    <t xml:space="preserve">                                    (tūkst.latu)</t>
  </si>
  <si>
    <t xml:space="preserve">                                  pārējie izdevumi</t>
  </si>
  <si>
    <t xml:space="preserve">         A. Veiss</t>
  </si>
  <si>
    <t xml:space="preserve">      Valsts kases oficiālais mēneša pārskats</t>
  </si>
  <si>
    <t>17.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</si>
  <si>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</si>
  <si>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</si>
  <si>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</si>
  <si>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</si>
  <si>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</si>
  <si>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</si>
  <si>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 xml:space="preserve">Nodokļu un nenodokļu ieņēmumi * 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</si>
  <si>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</si>
  <si>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</si>
  <si>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</si>
  <si>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</si>
  <si>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</si>
  <si>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</si>
  <si>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</si>
  <si>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</si>
  <si>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</si>
  <si>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</si>
  <si>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</si>
  <si>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Pārējā iekšējā finansēšana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</si>
  <si>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</si>
  <si>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</si>
  <si>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</si>
  <si>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</si>
  <si>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</si>
  <si>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</si>
  <si>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</si>
  <si>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</si>
  <si>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</si>
  <si>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</si>
  <si>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</si>
  <si>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</si>
  <si>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</si>
  <si>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</si>
  <si>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</si>
  <si>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</si>
  <si>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</si>
  <si>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</si>
  <si>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</si>
  <si>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</si>
  <si>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</si>
  <si>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</si>
  <si>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</si>
  <si>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</si>
  <si>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</si>
  <si>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</si>
  <si>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</si>
  <si>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</si>
  <si>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</si>
  <si>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</si>
  <si>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</si>
  <si>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</si>
  <si>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</si>
  <si>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</si>
  <si>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</si>
  <si>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</si>
  <si>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</si>
  <si>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</si>
  <si>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</si>
  <si>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</si>
  <si>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** -   ieskaitot  tīros aizdevumus </t>
  </si>
  <si>
    <t xml:space="preserve">Valsts kases pārvaldnieks </t>
  </si>
  <si>
    <t>_______________________________</t>
  </si>
  <si>
    <t xml:space="preserve">   A. Veiss</t>
  </si>
  <si>
    <t xml:space="preserve">Valsts kase / Pārskatu departaments </t>
  </si>
  <si>
    <t>15.04.00.</t>
  </si>
  <si>
    <t xml:space="preserve">                Valsts kases oficiālais pārskats</t>
  </si>
  <si>
    <t>18.tabula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</si>
  <si>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</si>
  <si>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</si>
  <si>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</si>
  <si>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</si>
  <si>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</si>
  <si>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</si>
  <si>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</si>
  <si>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</si>
  <si>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</si>
  <si>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</si>
  <si>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</si>
  <si>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</si>
  <si>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19. tabula</t>
  </si>
  <si>
    <t xml:space="preserve">                   Pašvaldību finansu izlīdzināšanas  fonda līdzekļi</t>
  </si>
  <si>
    <t xml:space="preserve">                   ( 2000. gada janvāris - marts )</t>
  </si>
  <si>
    <t>Izpilde</t>
  </si>
  <si>
    <t xml:space="preserve">1. Ieņēmumi - kopā   </t>
  </si>
  <si>
    <t xml:space="preserve">Atlikums uz 2000.gada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</si>
  <si>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</si>
  <si>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</si>
  <si>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</si>
  <si>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</si>
  <si>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</si>
  <si>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</si>
  <si>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</si>
  <si>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</si>
  <si>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2000.gada 1. aprīli (1.- 2.)</t>
  </si>
  <si>
    <t>Valsts kases pārvaldnieks              __________________________________</t>
  </si>
  <si>
    <t xml:space="preserve">                                                                                         Valsts kases oficiālais mēneša pārskats</t>
  </si>
  <si>
    <t>20. tabula</t>
  </si>
  <si>
    <t>No valsts budžeta pārskaitītās mērķdotācijas pašvaldībām</t>
  </si>
  <si>
    <t xml:space="preserve">   ( 2000. gada janvāris - marts )</t>
  </si>
</sst>
</file>

<file path=xl/styles.xml><?xml version="1.0" encoding="utf-8"?>
<styleSheet xmlns="http://schemas.openxmlformats.org/spreadsheetml/2006/main">
  <numFmts count="5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###0"/>
    <numFmt numFmtId="166" formatCode="#,###%"/>
    <numFmt numFmtId="167" formatCode="##0.0%"/>
    <numFmt numFmtId="168" formatCode="###.0%"/>
    <numFmt numFmtId="169" formatCode="###,###,###"/>
    <numFmt numFmtId="170" formatCode="0.0%"/>
    <numFmt numFmtId="171" formatCode="###,###,##0"/>
    <numFmt numFmtId="172" formatCode="###%"/>
    <numFmt numFmtId="173" formatCode="#,###.0%"/>
    <numFmt numFmtId="174" formatCode="###,###"/>
    <numFmt numFmtId="175" formatCode="00.000"/>
    <numFmt numFmtId="176" formatCode="#,##0\ &quot;LVR&quot;;\-#,##0\ &quot;LVR&quot;"/>
    <numFmt numFmtId="177" formatCode="#,##0\ &quot;LVR&quot;;[Red]\-#,##0\ &quot;LVR&quot;"/>
    <numFmt numFmtId="178" formatCode="#,##0.00\ &quot;LVR&quot;;\-#,##0.00\ &quot;LVR&quot;"/>
    <numFmt numFmtId="179" formatCode="#,##0.00\ &quot;LVR&quot;;[Red]\-#,##0.00\ &quot;LVR&quot;"/>
    <numFmt numFmtId="180" formatCode="_-* #,##0\ &quot;LVR&quot;_-;\-* #,##0\ &quot;LVR&quot;_-;_-* &quot;-&quot;\ &quot;LVR&quot;_-;_-@_-"/>
    <numFmt numFmtId="181" formatCode="_-* #,##0\ _L_V_R_-;\-* #,##0\ _L_V_R_-;_-* &quot;-&quot;\ _L_V_R_-;_-@_-"/>
    <numFmt numFmtId="182" formatCode="_-* #,##0.00\ &quot;LVR&quot;_-;\-* #,##0.00\ &quot;LVR&quot;_-;_-* &quot;-&quot;??\ &quot;LVR&quot;_-;_-@_-"/>
    <numFmt numFmtId="183" formatCode="_-* #,##0.00\ _L_V_R_-;\-* #,##0.00\ _L_V_R_-;_-* &quot;-&quot;??\ _L_V_R_-;_-@_-"/>
    <numFmt numFmtId="184" formatCode="&quot;Ls&quot;#,##0_);\(&quot;Ls&quot;#,##0\)"/>
    <numFmt numFmtId="185" formatCode="&quot;Ls&quot;#,##0_);[Red]\(&quot;Ls&quot;#,##0\)"/>
    <numFmt numFmtId="186" formatCode="&quot;Ls&quot;#,##0.00_);\(&quot;Ls&quot;#,##0.00\)"/>
    <numFmt numFmtId="187" formatCode="&quot;Ls&quot;#,##0.00_);[Red]\(&quot;Ls&quot;#,##0.00\)"/>
    <numFmt numFmtId="188" formatCode="_(&quot;Ls&quot;* #,##0_);_(&quot;Ls&quot;* \(#,##0\);_(&quot;Ls&quot;* &quot;-&quot;_);_(@_)"/>
    <numFmt numFmtId="189" formatCode="_(* #,##0_);_(* \(#,##0\);_(* &quot;-&quot;_);_(@_)"/>
    <numFmt numFmtId="190" formatCode="_(&quot;Ls&quot;* #,##0.00_);_(&quot;Ls&quot;* \(#,##0.00\);_(&quot;Ls&quot;* &quot;-&quot;??_);_(@_)"/>
    <numFmt numFmtId="191" formatCode="_(* #,##0.00_);_(* \(#,##0.00\);_(* &quot;-&quot;??_);_(@_)"/>
    <numFmt numFmtId="192" formatCode="#,###,##0"/>
    <numFmt numFmtId="193" formatCode="#,000"/>
    <numFmt numFmtId="194" formatCode="#,###,000"/>
    <numFmt numFmtId="195" formatCode="#,"/>
    <numFmt numFmtId="196" formatCode="0,"/>
    <numFmt numFmtId="197" formatCode="##0"/>
    <numFmt numFmtId="198" formatCode="#0,"/>
    <numFmt numFmtId="199" formatCode="#,#00"/>
    <numFmt numFmtId="200" formatCode="#."/>
    <numFmt numFmtId="201" formatCode="##0,"/>
    <numFmt numFmtId="202" formatCode="##0,###"/>
    <numFmt numFmtId="203" formatCode="#,###"/>
    <numFmt numFmtId="204" formatCode="\ #,"/>
    <numFmt numFmtId="205" formatCode="\ #"/>
    <numFmt numFmtId="206" formatCode="#,###,000.0"/>
    <numFmt numFmtId="207" formatCode="_(* #,##0.000_);_(* \(#,##0.000\);_(* &quot;-&quot;??_);_(@_)"/>
    <numFmt numFmtId="208" formatCode="_(* #,##0.0_);_(* \(#,##0.0\);_(* &quot;-&quot;??_);_(@_)"/>
    <numFmt numFmtId="209" formatCode="_(* #,##0_);_(* \(#,##0\);_(* &quot;-&quot;??_);_(@_)"/>
    <numFmt numFmtId="210" formatCode="#\ ###\ ##0"/>
    <numFmt numFmtId="211" formatCode="#\ ###\ \ ##0"/>
    <numFmt numFmtId="212" formatCode="###,##0,"/>
    <numFmt numFmtId="213" formatCode="#,###,"/>
  </numFmts>
  <fonts count="2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b/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69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right"/>
    </xf>
    <xf numFmtId="166" fontId="4" fillId="0" borderId="3" xfId="21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7" fontId="4" fillId="0" borderId="1" xfId="21" applyNumberFormat="1" applyFont="1" applyBorder="1" applyAlignment="1">
      <alignment/>
    </xf>
    <xf numFmtId="168" fontId="4" fillId="0" borderId="1" xfId="21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168" fontId="4" fillId="0" borderId="3" xfId="21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6" fontId="5" fillId="0" borderId="3" xfId="21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7" fontId="8" fillId="0" borderId="1" xfId="21" applyNumberFormat="1" applyFont="1" applyBorder="1" applyAlignment="1">
      <alignment/>
    </xf>
    <xf numFmtId="168" fontId="8" fillId="0" borderId="1" xfId="21" applyNumberFormat="1" applyFont="1" applyBorder="1" applyAlignment="1">
      <alignment/>
    </xf>
    <xf numFmtId="164" fontId="8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166" fontId="8" fillId="0" borderId="3" xfId="21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/>
    </xf>
    <xf numFmtId="167" fontId="5" fillId="0" borderId="1" xfId="21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/>
    </xf>
    <xf numFmtId="167" fontId="3" fillId="0" borderId="1" xfId="21" applyNumberFormat="1" applyFont="1" applyBorder="1" applyAlignment="1">
      <alignment/>
    </xf>
    <xf numFmtId="168" fontId="5" fillId="0" borderId="1" xfId="21" applyNumberFormat="1" applyFont="1" applyBorder="1" applyAlignment="1">
      <alignment/>
    </xf>
    <xf numFmtId="168" fontId="3" fillId="0" borderId="1" xfId="21" applyNumberFormat="1" applyFont="1" applyBorder="1" applyAlignment="1">
      <alignment/>
    </xf>
    <xf numFmtId="0" fontId="8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6" fontId="4" fillId="0" borderId="3" xfId="21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164" fontId="9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169" fontId="3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/>
    </xf>
    <xf numFmtId="166" fontId="5" fillId="0" borderId="1" xfId="21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70" fontId="8" fillId="0" borderId="1" xfId="21" applyNumberFormat="1" applyFont="1" applyBorder="1" applyAlignment="1">
      <alignment/>
    </xf>
    <xf numFmtId="169" fontId="3" fillId="0" borderId="1" xfId="0" applyNumberFormat="1" applyFont="1" applyBorder="1" applyAlignment="1">
      <alignment/>
    </xf>
    <xf numFmtId="166" fontId="3" fillId="0" borderId="1" xfId="21" applyNumberFormat="1" applyFont="1" applyBorder="1" applyAlignment="1">
      <alignment/>
    </xf>
    <xf numFmtId="169" fontId="2" fillId="0" borderId="1" xfId="0" applyNumberFormat="1" applyFont="1" applyBorder="1" applyAlignment="1">
      <alignment/>
    </xf>
    <xf numFmtId="170" fontId="2" fillId="0" borderId="1" xfId="21" applyNumberFormat="1" applyFont="1" applyBorder="1" applyAlignment="1">
      <alignment/>
    </xf>
    <xf numFmtId="0" fontId="3" fillId="0" borderId="1" xfId="0" applyFont="1" applyBorder="1" applyAlignment="1">
      <alignment/>
    </xf>
    <xf numFmtId="170" fontId="3" fillId="0" borderId="1" xfId="21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9" fontId="6" fillId="0" borderId="1" xfId="0" applyNumberFormat="1" applyFont="1" applyBorder="1" applyAlignment="1">
      <alignment/>
    </xf>
    <xf numFmtId="171" fontId="6" fillId="0" borderId="1" xfId="0" applyNumberFormat="1" applyFont="1" applyBorder="1" applyAlignment="1">
      <alignment/>
    </xf>
    <xf numFmtId="170" fontId="6" fillId="0" borderId="1" xfId="21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169" fontId="9" fillId="0" borderId="1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NumberFormat="1" applyFont="1" applyAlignment="1">
      <alignment/>
    </xf>
    <xf numFmtId="0" fontId="11" fillId="0" borderId="0" xfId="19" applyFont="1" applyAlignment="1">
      <alignment/>
    </xf>
    <xf numFmtId="0" fontId="0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/>
    </xf>
    <xf numFmtId="10" fontId="4" fillId="0" borderId="0" xfId="19" applyNumberFormat="1" applyFont="1" applyAlignment="1">
      <alignment/>
    </xf>
    <xf numFmtId="9" fontId="4" fillId="0" borderId="1" xfId="21" applyFont="1" applyBorder="1" applyAlignment="1">
      <alignment/>
    </xf>
    <xf numFmtId="10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4" fillId="0" borderId="1" xfId="21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9" fontId="4" fillId="0" borderId="1" xfId="21" applyFont="1" applyFill="1" applyBorder="1" applyAlignment="1">
      <alignment/>
    </xf>
    <xf numFmtId="9" fontId="4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9" fontId="0" fillId="0" borderId="1" xfId="21" applyFont="1" applyBorder="1" applyAlignment="1">
      <alignment/>
    </xf>
    <xf numFmtId="164" fontId="0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  <xf numFmtId="10" fontId="4" fillId="0" borderId="1" xfId="21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1" xfId="0" applyFont="1" applyFill="1" applyBorder="1" applyAlignment="1">
      <alignment wrapText="1"/>
    </xf>
    <xf numFmtId="9" fontId="4" fillId="0" borderId="1" xfId="2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9" fontId="4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/>
    </xf>
    <xf numFmtId="9" fontId="0" fillId="2" borderId="1" xfId="21" applyFont="1" applyFill="1" applyBorder="1" applyAlignment="1">
      <alignment/>
    </xf>
    <xf numFmtId="0" fontId="12" fillId="0" borderId="1" xfId="0" applyFont="1" applyBorder="1" applyAlignment="1">
      <alignment horizontal="center" wrapText="1"/>
    </xf>
    <xf numFmtId="164" fontId="12" fillId="0" borderId="1" xfId="0" applyNumberFormat="1" applyFont="1" applyBorder="1" applyAlignment="1">
      <alignment/>
    </xf>
    <xf numFmtId="9" fontId="12" fillId="0" borderId="1" xfId="0" applyNumberFormat="1" applyFont="1" applyBorder="1" applyAlignment="1">
      <alignment/>
    </xf>
    <xf numFmtId="9" fontId="12" fillId="0" borderId="1" xfId="21" applyFont="1" applyBorder="1" applyAlignment="1">
      <alignment/>
    </xf>
    <xf numFmtId="0" fontId="12" fillId="0" borderId="1" xfId="0" applyFont="1" applyFill="1" applyBorder="1" applyAlignment="1">
      <alignment horizontal="center" wrapText="1"/>
    </xf>
    <xf numFmtId="9" fontId="0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 wrapText="1"/>
    </xf>
    <xf numFmtId="164" fontId="13" fillId="0" borderId="1" xfId="0" applyNumberFormat="1" applyFont="1" applyBorder="1" applyAlignment="1">
      <alignment/>
    </xf>
    <xf numFmtId="9" fontId="13" fillId="0" borderId="1" xfId="21" applyFont="1" applyBorder="1" applyAlignment="1">
      <alignment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0" fontId="0" fillId="0" borderId="0" xfId="21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164" fontId="0" fillId="3" borderId="0" xfId="0" applyNumberFormat="1" applyFont="1" applyFill="1" applyAlignment="1">
      <alignment horizontal="centerContinuous"/>
    </xf>
    <xf numFmtId="10" fontId="0" fillId="0" borderId="0" xfId="0" applyNumberFormat="1" applyFont="1" applyAlignment="1">
      <alignment horizontal="centerContinuous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Alignment="1">
      <alignment horizontal="centerContinuous"/>
    </xf>
    <xf numFmtId="0" fontId="14" fillId="0" borderId="0" xfId="19" applyFont="1" applyFill="1" applyAlignment="1">
      <alignment/>
    </xf>
    <xf numFmtId="0" fontId="15" fillId="0" borderId="0" xfId="19" applyFont="1" applyAlignment="1">
      <alignment/>
    </xf>
    <xf numFmtId="10" fontId="0" fillId="0" borderId="0" xfId="0" applyNumberFormat="1" applyFont="1" applyAlignment="1">
      <alignment/>
    </xf>
    <xf numFmtId="0" fontId="11" fillId="0" borderId="0" xfId="19" applyFont="1" applyFill="1" applyAlignment="1">
      <alignment/>
    </xf>
    <xf numFmtId="0" fontId="16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166" fontId="4" fillId="0" borderId="0" xfId="21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66" fontId="3" fillId="0" borderId="0" xfId="21" applyNumberFormat="1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6" fontId="5" fillId="0" borderId="0" xfId="21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164" fontId="0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10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Continuous"/>
    </xf>
    <xf numFmtId="164" fontId="12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69" fontId="4" fillId="0" borderId="1" xfId="0" applyNumberFormat="1" applyFont="1" applyBorder="1" applyAlignment="1">
      <alignment horizontal="right" wrapText="1"/>
    </xf>
    <xf numFmtId="172" fontId="4" fillId="0" borderId="1" xfId="21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6" fontId="4" fillId="0" borderId="0" xfId="21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69" fontId="0" fillId="0" borderId="1" xfId="0" applyNumberFormat="1" applyFont="1" applyBorder="1" applyAlignment="1">
      <alignment/>
    </xf>
    <xf numFmtId="166" fontId="0" fillId="0" borderId="1" xfId="21" applyNumberFormat="1" applyFont="1" applyBorder="1" applyAlignment="1">
      <alignment/>
    </xf>
    <xf numFmtId="166" fontId="0" fillId="0" borderId="0" xfId="21" applyNumberFormat="1" applyFont="1" applyBorder="1" applyAlignment="1">
      <alignment/>
    </xf>
    <xf numFmtId="169" fontId="0" fillId="0" borderId="1" xfId="0" applyNumberFormat="1" applyFont="1" applyBorder="1" applyAlignment="1">
      <alignment horizontal="right" wrapText="1"/>
    </xf>
    <xf numFmtId="172" fontId="0" fillId="0" borderId="1" xfId="21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9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 wrapText="1"/>
    </xf>
    <xf numFmtId="10" fontId="0" fillId="0" borderId="0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 wrapText="1"/>
    </xf>
    <xf numFmtId="172" fontId="0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right"/>
    </xf>
    <xf numFmtId="169" fontId="0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0" fontId="12" fillId="0" borderId="0" xfId="0" applyNumberFormat="1" applyFont="1" applyBorder="1" applyAlignment="1">
      <alignment horizontal="center" wrapText="1"/>
    </xf>
    <xf numFmtId="10" fontId="12" fillId="0" borderId="0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169" fontId="12" fillId="0" borderId="1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right" wrapText="1"/>
    </xf>
    <xf numFmtId="172" fontId="12" fillId="0" borderId="1" xfId="0" applyNumberFormat="1" applyFont="1" applyBorder="1" applyAlignment="1">
      <alignment horizontal="center" wrapText="1"/>
    </xf>
    <xf numFmtId="172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69" fontId="0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9" fontId="0" fillId="0" borderId="1" xfId="0" applyNumberFormat="1" applyFont="1" applyBorder="1" applyAlignment="1">
      <alignment wrapText="1"/>
    </xf>
    <xf numFmtId="166" fontId="0" fillId="0" borderId="0" xfId="21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72" fontId="0" fillId="0" borderId="1" xfId="21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9" fontId="4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69" fontId="0" fillId="0" borderId="1" xfId="0" applyNumberFormat="1" applyFont="1" applyBorder="1" applyAlignment="1">
      <alignment horizontal="center" wrapText="1"/>
    </xf>
    <xf numFmtId="172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Continuous"/>
    </xf>
    <xf numFmtId="164" fontId="12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6" fontId="4" fillId="0" borderId="1" xfId="21" applyNumberFormat="1" applyFont="1" applyBorder="1" applyAlignment="1">
      <alignment/>
    </xf>
    <xf numFmtId="170" fontId="4" fillId="0" borderId="1" xfId="21" applyNumberFormat="1" applyFont="1" applyBorder="1" applyAlignment="1">
      <alignment/>
    </xf>
    <xf numFmtId="173" fontId="4" fillId="0" borderId="1" xfId="21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73" fontId="0" fillId="0" borderId="1" xfId="21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170" fontId="0" fillId="0" borderId="1" xfId="21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/>
    </xf>
    <xf numFmtId="164" fontId="12" fillId="0" borderId="1" xfId="0" applyNumberFormat="1" applyFont="1" applyFill="1" applyBorder="1" applyAlignment="1">
      <alignment/>
    </xf>
    <xf numFmtId="169" fontId="12" fillId="0" borderId="1" xfId="0" applyNumberFormat="1" applyFont="1" applyBorder="1" applyAlignment="1">
      <alignment/>
    </xf>
    <xf numFmtId="170" fontId="12" fillId="0" borderId="1" xfId="21" applyNumberFormat="1" applyFont="1" applyBorder="1" applyAlignment="1">
      <alignment/>
    </xf>
    <xf numFmtId="164" fontId="12" fillId="0" borderId="6" xfId="0" applyNumberFormat="1" applyFont="1" applyBorder="1" applyAlignment="1">
      <alignment/>
    </xf>
    <xf numFmtId="173" fontId="12" fillId="0" borderId="1" xfId="21" applyNumberFormat="1" applyFont="1" applyBorder="1" applyAlignment="1">
      <alignment/>
    </xf>
    <xf numFmtId="169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right" wrapText="1"/>
    </xf>
    <xf numFmtId="170" fontId="17" fillId="0" borderId="1" xfId="21" applyNumberFormat="1" applyFont="1" applyBorder="1" applyAlignment="1">
      <alignment/>
    </xf>
    <xf numFmtId="0" fontId="17" fillId="0" borderId="6" xfId="0" applyFont="1" applyBorder="1" applyAlignment="1">
      <alignment horizontal="right" wrapText="1"/>
    </xf>
    <xf numFmtId="169" fontId="1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170" fontId="7" fillId="0" borderId="1" xfId="21" applyNumberFormat="1" applyFont="1" applyBorder="1" applyAlignment="1">
      <alignment/>
    </xf>
    <xf numFmtId="0" fontId="7" fillId="0" borderId="6" xfId="0" applyFont="1" applyBorder="1" applyAlignment="1">
      <alignment/>
    </xf>
    <xf numFmtId="169" fontId="7" fillId="0" borderId="1" xfId="0" applyNumberFormat="1" applyFont="1" applyBorder="1" applyAlignment="1">
      <alignment horizontal="right" wrapText="1"/>
    </xf>
    <xf numFmtId="169" fontId="7" fillId="0" borderId="1" xfId="0" applyNumberFormat="1" applyFont="1" applyBorder="1" applyAlignment="1">
      <alignment horizontal="right" vertical="center" wrapText="1"/>
    </xf>
    <xf numFmtId="164" fontId="17" fillId="0" borderId="1" xfId="0" applyNumberFormat="1" applyFont="1" applyBorder="1" applyAlignment="1">
      <alignment/>
    </xf>
    <xf numFmtId="164" fontId="17" fillId="0" borderId="6" xfId="0" applyNumberFormat="1" applyFont="1" applyBorder="1" applyAlignment="1">
      <alignment/>
    </xf>
    <xf numFmtId="169" fontId="17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left"/>
    </xf>
    <xf numFmtId="164" fontId="17" fillId="0" borderId="1" xfId="0" applyNumberFormat="1" applyFont="1" applyBorder="1" applyAlignment="1">
      <alignment/>
    </xf>
    <xf numFmtId="164" fontId="17" fillId="0" borderId="6" xfId="0" applyNumberFormat="1" applyFont="1" applyBorder="1" applyAlignment="1">
      <alignment/>
    </xf>
    <xf numFmtId="169" fontId="1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 wrapText="1"/>
    </xf>
    <xf numFmtId="169" fontId="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/>
    </xf>
    <xf numFmtId="169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wrapText="1"/>
    </xf>
    <xf numFmtId="164" fontId="18" fillId="0" borderId="1" xfId="0" applyNumberFormat="1" applyFont="1" applyBorder="1" applyAlignment="1">
      <alignment horizontal="center"/>
    </xf>
    <xf numFmtId="164" fontId="18" fillId="0" borderId="1" xfId="0" applyNumberFormat="1" applyFont="1" applyBorder="1" applyAlignment="1">
      <alignment/>
    </xf>
    <xf numFmtId="10" fontId="18" fillId="0" borderId="1" xfId="0" applyNumberFormat="1" applyFont="1" applyBorder="1" applyAlignment="1">
      <alignment horizontal="center" wrapText="1"/>
    </xf>
    <xf numFmtId="169" fontId="18" fillId="0" borderId="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169" fontId="18" fillId="0" borderId="1" xfId="0" applyNumberFormat="1" applyFont="1" applyBorder="1" applyAlignment="1">
      <alignment horizontal="right" wrapText="1"/>
    </xf>
    <xf numFmtId="16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164" fontId="17" fillId="0" borderId="1" xfId="0" applyNumberFormat="1" applyFont="1" applyBorder="1" applyAlignment="1">
      <alignment horizontal="right"/>
    </xf>
    <xf numFmtId="164" fontId="17" fillId="0" borderId="6" xfId="0" applyNumberFormat="1" applyFont="1" applyBorder="1" applyAlignment="1">
      <alignment horizontal="right"/>
    </xf>
    <xf numFmtId="169" fontId="1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wrapText="1"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164" fontId="18" fillId="0" borderId="0" xfId="0" applyNumberFormat="1" applyFont="1" applyAlignment="1">
      <alignment horizontal="center"/>
    </xf>
    <xf numFmtId="10" fontId="17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Continuous"/>
    </xf>
    <xf numFmtId="10" fontId="7" fillId="0" borderId="0" xfId="0" applyNumberFormat="1" applyFont="1" applyBorder="1" applyAlignment="1">
      <alignment horizontal="centerContinuous"/>
    </xf>
    <xf numFmtId="164" fontId="18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174" fontId="4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166" fontId="0" fillId="0" borderId="1" xfId="21" applyNumberFormat="1" applyFont="1" applyBorder="1" applyAlignment="1">
      <alignment horizontal="right"/>
    </xf>
    <xf numFmtId="0" fontId="0" fillId="0" borderId="6" xfId="0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 wrapText="1"/>
    </xf>
    <xf numFmtId="164" fontId="0" fillId="0" borderId="6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 wrapText="1"/>
    </xf>
    <xf numFmtId="0" fontId="12" fillId="0" borderId="0" xfId="0" applyFont="1" applyAlignment="1">
      <alignment/>
    </xf>
    <xf numFmtId="9" fontId="4" fillId="0" borderId="1" xfId="21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0" fontId="4" fillId="0" borderId="0" xfId="21" applyNumberFormat="1" applyFont="1" applyBorder="1" applyAlignment="1">
      <alignment/>
    </xf>
    <xf numFmtId="175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5" fontId="0" fillId="0" borderId="1" xfId="0" applyNumberFormat="1" applyFont="1" applyBorder="1" applyAlignment="1">
      <alignment horizontal="center"/>
    </xf>
    <xf numFmtId="9" fontId="0" fillId="0" borderId="1" xfId="21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175" fontId="0" fillId="0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10" fontId="4" fillId="0" borderId="1" xfId="21" applyNumberFormat="1" applyFont="1" applyBorder="1" applyAlignment="1">
      <alignment/>
    </xf>
    <xf numFmtId="10" fontId="0" fillId="0" borderId="1" xfId="21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9" fontId="0" fillId="0" borderId="0" xfId="20" applyNumberFormat="1" applyFont="1" applyAlignment="1">
      <alignment horizontal="centerContinuous" vertical="top" wrapText="1"/>
      <protection/>
    </xf>
    <xf numFmtId="0" fontId="0" fillId="0" borderId="0" xfId="20" applyFont="1" applyAlignment="1">
      <alignment horizontal="centerContinuous"/>
      <protection/>
    </xf>
    <xf numFmtId="0" fontId="20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49" fontId="1" fillId="0" borderId="0" xfId="20" applyNumberFormat="1" applyFont="1" applyAlignment="1">
      <alignment horizontal="centerContinuous" vertical="top" wrapText="1"/>
      <protection/>
    </xf>
    <xf numFmtId="49" fontId="16" fillId="0" borderId="0" xfId="20" applyNumberFormat="1" applyFont="1" applyAlignment="1">
      <alignment horizontal="centerContinuous" vertical="top" wrapText="1"/>
      <protection/>
    </xf>
    <xf numFmtId="0" fontId="16" fillId="0" borderId="0" xfId="20" applyFont="1" applyAlignment="1">
      <alignment horizontal="centerContinuous"/>
      <protection/>
    </xf>
    <xf numFmtId="0" fontId="16" fillId="0" borderId="0" xfId="20" applyFont="1">
      <alignment/>
      <protection/>
    </xf>
    <xf numFmtId="49" fontId="20" fillId="0" borderId="0" xfId="20" applyNumberFormat="1" applyFont="1" applyAlignment="1">
      <alignment vertical="top" wrapText="1"/>
      <protection/>
    </xf>
    <xf numFmtId="0" fontId="20" fillId="0" borderId="0" xfId="20" applyFont="1" applyAlignment="1">
      <alignment horizontal="centerContinuous"/>
      <protection/>
    </xf>
    <xf numFmtId="0" fontId="3" fillId="0" borderId="0" xfId="20" applyFont="1">
      <alignment/>
      <protection/>
    </xf>
    <xf numFmtId="49" fontId="3" fillId="0" borderId="7" xfId="20" applyNumberFormat="1" applyFont="1" applyBorder="1" applyAlignment="1">
      <alignment vertical="top" wrapText="1"/>
      <protection/>
    </xf>
    <xf numFmtId="0" fontId="3" fillId="0" borderId="7" xfId="20" applyFont="1" applyBorder="1" applyAlignment="1">
      <alignment horizontal="centerContinuous"/>
      <protection/>
    </xf>
    <xf numFmtId="49" fontId="3" fillId="0" borderId="8" xfId="20" applyNumberFormat="1" applyFont="1" applyFill="1" applyBorder="1" applyAlignment="1">
      <alignment horizontal="centerContinuous" vertical="center"/>
      <protection/>
    </xf>
    <xf numFmtId="49" fontId="3" fillId="0" borderId="3" xfId="20" applyNumberFormat="1" applyFont="1" applyFill="1" applyBorder="1" applyAlignment="1">
      <alignment horizontal="center" vertical="center" wrapText="1"/>
      <protection/>
    </xf>
    <xf numFmtId="49" fontId="3" fillId="0" borderId="9" xfId="20" applyNumberFormat="1" applyFont="1" applyFill="1" applyBorder="1" applyAlignment="1">
      <alignment horizontal="center" vertical="center" wrapText="1"/>
      <protection/>
    </xf>
    <xf numFmtId="0" fontId="0" fillId="0" borderId="0" xfId="20" applyFont="1">
      <alignment/>
      <protection/>
    </xf>
    <xf numFmtId="49" fontId="3" fillId="0" borderId="10" xfId="20" applyNumberFormat="1" applyFont="1" applyFill="1" applyBorder="1" applyAlignment="1">
      <alignment horizontal="center" vertical="top" wrapText="1"/>
      <protection/>
    </xf>
    <xf numFmtId="49" fontId="3" fillId="0" borderId="1" xfId="20" applyNumberFormat="1" applyFont="1" applyFill="1" applyBorder="1" applyAlignment="1">
      <alignment horizontal="center" vertical="top" wrapText="1"/>
      <protection/>
    </xf>
    <xf numFmtId="49" fontId="3" fillId="0" borderId="11" xfId="20" applyNumberFormat="1" applyFont="1" applyFill="1" applyBorder="1" applyAlignment="1">
      <alignment horizontal="center" vertical="top" wrapText="1"/>
      <protection/>
    </xf>
    <xf numFmtId="3" fontId="4" fillId="0" borderId="10" xfId="20" applyNumberFormat="1" applyFont="1" applyBorder="1" applyAlignment="1">
      <alignment horizontal="center"/>
      <protection/>
    </xf>
    <xf numFmtId="3" fontId="2" fillId="0" borderId="1" xfId="20" applyNumberFormat="1" applyFont="1" applyBorder="1">
      <alignment/>
      <protection/>
    </xf>
    <xf numFmtId="4" fontId="2" fillId="0" borderId="1" xfId="20" applyNumberFormat="1" applyFont="1" applyBorder="1">
      <alignment/>
      <protection/>
    </xf>
    <xf numFmtId="3" fontId="2" fillId="0" borderId="11" xfId="20" applyNumberFormat="1" applyFont="1" applyBorder="1">
      <alignment/>
      <protection/>
    </xf>
    <xf numFmtId="49" fontId="4" fillId="0" borderId="10" xfId="20" applyNumberFormat="1" applyFont="1" applyFill="1" applyBorder="1" applyAlignment="1">
      <alignment horizontal="center" vertical="top" wrapText="1"/>
      <protection/>
    </xf>
    <xf numFmtId="3" fontId="4" fillId="0" borderId="10" xfId="20" applyNumberFormat="1" applyFont="1" applyBorder="1" applyAlignment="1">
      <alignment horizontal="left"/>
      <protection/>
    </xf>
    <xf numFmtId="3" fontId="5" fillId="0" borderId="10" xfId="20" applyNumberFormat="1" applyFont="1" applyBorder="1" applyAlignment="1">
      <alignment horizontal="left"/>
      <protection/>
    </xf>
    <xf numFmtId="3" fontId="3" fillId="0" borderId="10" xfId="20" applyNumberFormat="1" applyFont="1" applyBorder="1">
      <alignment/>
      <protection/>
    </xf>
    <xf numFmtId="49" fontId="3" fillId="0" borderId="10" xfId="20" applyNumberFormat="1" applyFont="1" applyFill="1" applyBorder="1" applyAlignment="1">
      <alignment vertical="top" wrapText="1"/>
      <protection/>
    </xf>
    <xf numFmtId="49" fontId="4" fillId="0" borderId="10" xfId="20" applyNumberFormat="1" applyFont="1" applyFill="1" applyBorder="1" applyAlignment="1">
      <alignment vertical="top" wrapText="1"/>
      <protection/>
    </xf>
    <xf numFmtId="3" fontId="5" fillId="0" borderId="10" xfId="20" applyNumberFormat="1" applyFont="1" applyBorder="1" applyAlignment="1">
      <alignment horizontal="center"/>
      <protection/>
    </xf>
    <xf numFmtId="3" fontId="3" fillId="0" borderId="10" xfId="20" applyNumberFormat="1" applyFont="1" applyBorder="1" applyAlignment="1">
      <alignment wrapText="1"/>
      <protection/>
    </xf>
    <xf numFmtId="49" fontId="5" fillId="0" borderId="10" xfId="20" applyNumberFormat="1" applyFont="1" applyFill="1" applyBorder="1" applyAlignment="1">
      <alignment horizontal="center" vertical="top" wrapText="1"/>
      <protection/>
    </xf>
    <xf numFmtId="3" fontId="5" fillId="0" borderId="12" xfId="20" applyNumberFormat="1" applyFont="1" applyBorder="1" applyAlignment="1">
      <alignment horizontal="center"/>
      <protection/>
    </xf>
    <xf numFmtId="3" fontId="2" fillId="0" borderId="13" xfId="20" applyNumberFormat="1" applyFont="1" applyBorder="1">
      <alignment/>
      <protection/>
    </xf>
    <xf numFmtId="4" fontId="2" fillId="0" borderId="13" xfId="20" applyNumberFormat="1" applyFont="1" applyBorder="1">
      <alignment/>
      <protection/>
    </xf>
    <xf numFmtId="3" fontId="2" fillId="0" borderId="14" xfId="20" applyNumberFormat="1" applyFont="1" applyBorder="1">
      <alignment/>
      <protection/>
    </xf>
    <xf numFmtId="0" fontId="20" fillId="0" borderId="0" xfId="20" applyFont="1" applyBorder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20" fillId="0" borderId="0" xfId="20" applyFont="1" applyAlignment="1">
      <alignment horizontal="left"/>
      <protection/>
    </xf>
    <xf numFmtId="0" fontId="20" fillId="0" borderId="0" xfId="20" applyFont="1" applyBorder="1" applyAlignment="1">
      <alignment horizontal="center"/>
      <protection/>
    </xf>
    <xf numFmtId="49" fontId="0" fillId="0" borderId="0" xfId="20" applyNumberFormat="1" applyFont="1" applyAlignment="1">
      <alignment vertical="top" wrapText="1"/>
      <protection/>
    </xf>
    <xf numFmtId="49" fontId="2" fillId="0" borderId="0" xfId="20" applyNumberFormat="1" applyFont="1" applyAlignment="1">
      <alignment horizontal="left" vertical="top" wrapText="1"/>
      <protection/>
    </xf>
    <xf numFmtId="49" fontId="2" fillId="0" borderId="0" xfId="20" applyNumberFormat="1" applyFont="1" applyAlignment="1">
      <alignment vertical="top" wrapText="1"/>
      <protection/>
    </xf>
    <xf numFmtId="49" fontId="2" fillId="0" borderId="7" xfId="20" applyNumberFormat="1" applyFont="1" applyBorder="1" applyAlignment="1">
      <alignment horizontal="center"/>
      <protection/>
    </xf>
    <xf numFmtId="49" fontId="2" fillId="0" borderId="0" xfId="20" applyNumberFormat="1" applyFont="1" applyBorder="1" applyAlignment="1">
      <alignment horizontal="center"/>
      <protection/>
    </xf>
    <xf numFmtId="0" fontId="2" fillId="0" borderId="0" xfId="20" applyFont="1">
      <alignment/>
      <protection/>
    </xf>
    <xf numFmtId="49" fontId="20" fillId="0" borderId="0" xfId="20" applyNumberFormat="1" applyFont="1" applyAlignment="1">
      <alignment horizontal="left" vertical="top" wrapText="1"/>
      <protection/>
    </xf>
    <xf numFmtId="0" fontId="3" fillId="0" borderId="0" xfId="20" applyFont="1" applyAlignment="1">
      <alignment horizontal="left"/>
      <protection/>
    </xf>
    <xf numFmtId="0" fontId="20" fillId="0" borderId="0" xfId="20" applyFont="1" applyAlignment="1">
      <alignment/>
      <protection/>
    </xf>
    <xf numFmtId="49" fontId="3" fillId="0" borderId="0" xfId="20" applyNumberFormat="1" applyFont="1" applyAlignment="1">
      <alignment vertical="top" wrapText="1"/>
      <protection/>
    </xf>
    <xf numFmtId="49" fontId="3" fillId="0" borderId="0" xfId="20" applyNumberFormat="1" applyFont="1" applyAlignment="1">
      <alignment horizontal="centerContinuous" vertical="top" wrapText="1"/>
      <protection/>
    </xf>
    <xf numFmtId="0" fontId="3" fillId="0" borderId="0" xfId="20" applyFont="1" applyAlignment="1">
      <alignment horizontal="centerContinuous"/>
      <protection/>
    </xf>
    <xf numFmtId="49" fontId="20" fillId="0" borderId="0" xfId="20" applyNumberFormat="1" applyFont="1" applyAlignment="1">
      <alignment horizontal="centerContinuous" vertical="top" wrapText="1"/>
      <protection/>
    </xf>
    <xf numFmtId="49" fontId="3" fillId="0" borderId="0" xfId="20" applyNumberFormat="1" applyFont="1" applyAlignment="1">
      <alignment horizontal="center" vertical="top" wrapText="1"/>
      <protection/>
    </xf>
    <xf numFmtId="0" fontId="3" fillId="0" borderId="0" xfId="20" applyFont="1" applyAlignment="1">
      <alignment/>
      <protection/>
    </xf>
    <xf numFmtId="49" fontId="3" fillId="0" borderId="8" xfId="20" applyNumberFormat="1" applyFont="1" applyFill="1" applyBorder="1" applyAlignment="1">
      <alignment horizontal="center" vertical="center" wrapText="1"/>
      <protection/>
    </xf>
    <xf numFmtId="49" fontId="3" fillId="0" borderId="15" xfId="20" applyNumberFormat="1" applyFont="1" applyFill="1" applyBorder="1" applyAlignment="1">
      <alignment horizontal="center" vertical="center" wrapText="1"/>
      <protection/>
    </xf>
    <xf numFmtId="49" fontId="3" fillId="0" borderId="16" xfId="20" applyNumberFormat="1" applyFont="1" applyFill="1" applyBorder="1" applyAlignment="1">
      <alignment horizontal="center" vertical="center" wrapText="1"/>
      <protection/>
    </xf>
    <xf numFmtId="49" fontId="4" fillId="0" borderId="10" xfId="20" applyNumberFormat="1" applyFont="1" applyFill="1" applyBorder="1" applyAlignment="1">
      <alignment horizontal="left" vertical="top" wrapText="1"/>
      <protection/>
    </xf>
    <xf numFmtId="49" fontId="5" fillId="0" borderId="10" xfId="20" applyNumberFormat="1" applyFont="1" applyFill="1" applyBorder="1" applyAlignment="1">
      <alignment horizontal="center" vertical="top" wrapText="1"/>
      <protection/>
    </xf>
    <xf numFmtId="49" fontId="3" fillId="0" borderId="10" xfId="20" applyNumberFormat="1" applyFont="1" applyFill="1" applyBorder="1" applyAlignment="1">
      <alignment horizontal="left" vertical="top" wrapText="1"/>
      <protection/>
    </xf>
    <xf numFmtId="4" fontId="2" fillId="0" borderId="17" xfId="20" applyNumberFormat="1" applyFont="1" applyBorder="1">
      <alignment/>
      <protection/>
    </xf>
    <xf numFmtId="49" fontId="3" fillId="0" borderId="12" xfId="20" applyNumberFormat="1" applyFont="1" applyFill="1" applyBorder="1" applyAlignment="1">
      <alignment horizontal="left" vertical="top" wrapText="1"/>
      <protection/>
    </xf>
    <xf numFmtId="0" fontId="2" fillId="0" borderId="13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0" xfId="20" applyFont="1" applyAlignment="1">
      <alignment horizontal="left"/>
      <protection/>
    </xf>
    <xf numFmtId="49" fontId="3" fillId="0" borderId="0" xfId="20" applyNumberFormat="1" applyFont="1" applyFill="1" applyBorder="1" applyAlignment="1">
      <alignment horizontal="left" vertical="top" wrapText="1"/>
      <protection/>
    </xf>
    <xf numFmtId="3" fontId="2" fillId="0" borderId="0" xfId="20" applyNumberFormat="1" applyFont="1" applyBorder="1">
      <alignment/>
      <protection/>
    </xf>
    <xf numFmtId="49" fontId="2" fillId="0" borderId="0" xfId="20" applyNumberFormat="1" applyFont="1" applyAlignment="1">
      <alignment horizontal="center" vertical="top" wrapText="1"/>
      <protection/>
    </xf>
    <xf numFmtId="49" fontId="2" fillId="0" borderId="0" xfId="20" applyNumberFormat="1" applyFont="1" applyFill="1" applyBorder="1" applyAlignment="1">
      <alignment vertical="top" wrapText="1"/>
      <protection/>
    </xf>
    <xf numFmtId="49" fontId="2" fillId="0" borderId="0" xfId="20" applyNumberFormat="1" applyFont="1" applyFill="1" applyBorder="1" applyAlignment="1">
      <alignment horizontal="center" vertical="top" wrapText="1"/>
      <protection/>
    </xf>
    <xf numFmtId="0" fontId="2" fillId="0" borderId="0" xfId="20" applyFont="1" applyAlignment="1">
      <alignment/>
      <protection/>
    </xf>
    <xf numFmtId="49" fontId="20" fillId="0" borderId="0" xfId="20" applyNumberFormat="1" applyFont="1" applyAlignment="1">
      <alignment horizontal="center" vertical="top" wrapText="1"/>
      <protection/>
    </xf>
    <xf numFmtId="49" fontId="0" fillId="0" borderId="0" xfId="20" applyNumberFormat="1" applyFont="1" applyAlignment="1">
      <alignment horizontal="right" vertical="top" wrapText="1"/>
      <protection/>
    </xf>
    <xf numFmtId="49" fontId="17" fillId="0" borderId="0" xfId="20" applyNumberFormat="1" applyFont="1" applyAlignment="1">
      <alignment horizontal="centerContinuous" vertical="top" wrapText="1"/>
      <protection/>
    </xf>
    <xf numFmtId="49" fontId="5" fillId="0" borderId="10" xfId="20" applyNumberFormat="1" applyFont="1" applyFill="1" applyBorder="1" applyAlignment="1">
      <alignment horizontal="left" vertical="top" wrapText="1"/>
      <protection/>
    </xf>
    <xf numFmtId="49" fontId="6" fillId="0" borderId="10" xfId="20" applyNumberFormat="1" applyFont="1" applyFill="1" applyBorder="1" applyAlignment="1">
      <alignment horizontal="left" vertical="top" wrapText="1"/>
      <protection/>
    </xf>
    <xf numFmtId="49" fontId="4" fillId="0" borderId="18" xfId="20" applyNumberFormat="1" applyFont="1" applyFill="1" applyBorder="1" applyAlignment="1">
      <alignment horizontal="left" vertical="top" wrapText="1"/>
      <protection/>
    </xf>
    <xf numFmtId="3" fontId="20" fillId="0" borderId="0" xfId="20" applyNumberFormat="1" applyFont="1" applyAlignment="1">
      <alignment horizontal="left"/>
      <protection/>
    </xf>
    <xf numFmtId="49" fontId="4" fillId="0" borderId="19" xfId="20" applyNumberFormat="1" applyFont="1" applyFill="1" applyBorder="1" applyAlignment="1">
      <alignment horizontal="left" vertical="top" wrapText="1"/>
      <protection/>
    </xf>
    <xf numFmtId="3" fontId="2" fillId="0" borderId="20" xfId="20" applyNumberFormat="1" applyFont="1" applyBorder="1">
      <alignment/>
      <protection/>
    </xf>
    <xf numFmtId="4" fontId="2" fillId="0" borderId="20" xfId="20" applyNumberFormat="1" applyFont="1" applyBorder="1">
      <alignment/>
      <protection/>
    </xf>
    <xf numFmtId="3" fontId="2" fillId="0" borderId="21" xfId="20" applyNumberFormat="1" applyFont="1" applyBorder="1">
      <alignment/>
      <protection/>
    </xf>
    <xf numFmtId="49" fontId="3" fillId="0" borderId="0" xfId="20" applyNumberFormat="1" applyFont="1" applyAlignment="1">
      <alignment horizontal="left" vertical="top" wrapText="1"/>
      <protection/>
    </xf>
    <xf numFmtId="0" fontId="3" fillId="0" borderId="10" xfId="20" applyFont="1" applyBorder="1" applyAlignment="1">
      <alignment horizontal="center"/>
      <protection/>
    </xf>
    <xf numFmtId="3" fontId="3" fillId="0" borderId="1" xfId="20" applyNumberFormat="1" applyFont="1" applyBorder="1" applyAlignment="1">
      <alignment horizontal="center"/>
      <protection/>
    </xf>
    <xf numFmtId="0" fontId="3" fillId="0" borderId="1" xfId="20" applyNumberFormat="1" applyFont="1" applyBorder="1" applyAlignment="1">
      <alignment horizontal="center"/>
      <protection/>
    </xf>
    <xf numFmtId="0" fontId="3" fillId="0" borderId="11" xfId="20" applyNumberFormat="1" applyFont="1" applyBorder="1" applyAlignment="1">
      <alignment horizontal="center"/>
      <protection/>
    </xf>
    <xf numFmtId="0" fontId="4" fillId="0" borderId="10" xfId="20" applyFont="1" applyBorder="1" applyAlignment="1">
      <alignment horizontal="left" vertical="top" wrapText="1"/>
      <protection/>
    </xf>
    <xf numFmtId="2" fontId="2" fillId="0" borderId="1" xfId="20" applyNumberFormat="1" applyFont="1" applyBorder="1">
      <alignment/>
      <protection/>
    </xf>
    <xf numFmtId="0" fontId="3" fillId="0" borderId="10" xfId="20" applyFont="1" applyBorder="1" applyAlignment="1">
      <alignment vertical="top" wrapText="1"/>
      <protection/>
    </xf>
    <xf numFmtId="0" fontId="4" fillId="0" borderId="10" xfId="20" applyFont="1" applyBorder="1" applyAlignment="1">
      <alignment vertical="top" wrapText="1"/>
      <protection/>
    </xf>
    <xf numFmtId="0" fontId="4" fillId="0" borderId="12" xfId="20" applyFont="1" applyBorder="1" applyAlignment="1">
      <alignment vertical="top" wrapText="1"/>
      <protection/>
    </xf>
    <xf numFmtId="2" fontId="2" fillId="0" borderId="13" xfId="20" applyNumberFormat="1" applyFont="1" applyBorder="1">
      <alignment/>
      <protection/>
    </xf>
    <xf numFmtId="0" fontId="4" fillId="0" borderId="0" xfId="20" applyFont="1" applyBorder="1" applyAlignment="1">
      <alignment vertical="top" wrapText="1"/>
      <protection/>
    </xf>
    <xf numFmtId="2" fontId="2" fillId="0" borderId="0" xfId="20" applyNumberFormat="1" applyFont="1" applyBorder="1">
      <alignment/>
      <protection/>
    </xf>
    <xf numFmtId="0" fontId="20" fillId="0" borderId="0" xfId="20" applyFont="1" applyAlignment="1">
      <alignment horizontal="center"/>
      <protection/>
    </xf>
    <xf numFmtId="49" fontId="2" fillId="0" borderId="0" xfId="20" applyNumberFormat="1" applyFont="1" applyBorder="1">
      <alignment/>
      <protection/>
    </xf>
    <xf numFmtId="0" fontId="0" fillId="0" borderId="0" xfId="20" applyFont="1" applyAlignment="1">
      <alignment horizontal="right"/>
      <protection/>
    </xf>
    <xf numFmtId="0" fontId="3" fillId="0" borderId="7" xfId="20" applyFont="1" applyBorder="1">
      <alignment/>
      <protection/>
    </xf>
    <xf numFmtId="49" fontId="3" fillId="0" borderId="22" xfId="20" applyNumberFormat="1" applyFont="1" applyFill="1" applyBorder="1" applyAlignment="1">
      <alignment horizontal="left" vertical="top" wrapText="1"/>
      <protection/>
    </xf>
    <xf numFmtId="49" fontId="4" fillId="0" borderId="12" xfId="20" applyNumberFormat="1" applyFont="1" applyFill="1" applyBorder="1" applyAlignment="1">
      <alignment horizontal="left" vertical="top" wrapText="1"/>
      <protection/>
    </xf>
    <xf numFmtId="2" fontId="2" fillId="0" borderId="20" xfId="20" applyNumberFormat="1" applyFont="1" applyBorder="1">
      <alignment/>
      <protection/>
    </xf>
    <xf numFmtId="4" fontId="2" fillId="0" borderId="0" xfId="20" applyNumberFormat="1" applyFont="1" applyBorder="1">
      <alignment/>
      <protection/>
    </xf>
    <xf numFmtId="0" fontId="20" fillId="0" borderId="7" xfId="20" applyFont="1" applyBorder="1">
      <alignment/>
      <protection/>
    </xf>
    <xf numFmtId="0" fontId="2" fillId="0" borderId="0" xfId="20" applyFont="1" applyBorder="1" applyAlignment="1">
      <alignment/>
      <protection/>
    </xf>
    <xf numFmtId="49" fontId="2" fillId="0" borderId="0" xfId="20" applyNumberFormat="1" applyFont="1">
      <alignment/>
      <protection/>
    </xf>
    <xf numFmtId="0" fontId="2" fillId="0" borderId="7" xfId="20" applyFont="1" applyBorder="1" applyAlignment="1">
      <alignment/>
      <protection/>
    </xf>
    <xf numFmtId="0" fontId="0" fillId="0" borderId="0" xfId="20" applyFont="1" applyAlignment="1">
      <alignment/>
      <protection/>
    </xf>
    <xf numFmtId="49" fontId="0" fillId="0" borderId="0" xfId="20" applyNumberFormat="1" applyFont="1" applyAlignment="1">
      <alignment horizontal="center" vertical="top" wrapText="1"/>
      <protection/>
    </xf>
    <xf numFmtId="0" fontId="0" fillId="0" borderId="0" xfId="20" applyFont="1" applyAlignment="1">
      <alignment wrapText="1"/>
      <protection/>
    </xf>
    <xf numFmtId="0" fontId="20" fillId="0" borderId="0" xfId="20" applyFont="1" applyAlignment="1">
      <alignment wrapText="1"/>
      <protection/>
    </xf>
    <xf numFmtId="0" fontId="2" fillId="0" borderId="0" xfId="20" applyFont="1" applyAlignment="1">
      <alignment horizontal="centerContinuous"/>
      <protection/>
    </xf>
    <xf numFmtId="0" fontId="1" fillId="0" borderId="0" xfId="20" applyFont="1" applyAlignment="1">
      <alignment horizontal="centerContinuous" wrapText="1"/>
      <protection/>
    </xf>
    <xf numFmtId="0" fontId="1" fillId="0" borderId="0" xfId="20" applyFont="1" applyAlignment="1">
      <alignment horizontal="centerContinuous"/>
      <protection/>
    </xf>
    <xf numFmtId="0" fontId="21" fillId="0" borderId="0" xfId="20" applyFont="1" applyAlignment="1">
      <alignment horizontal="centerContinuous"/>
      <protection/>
    </xf>
    <xf numFmtId="0" fontId="1" fillId="0" borderId="0" xfId="20" applyFont="1">
      <alignment/>
      <protection/>
    </xf>
    <xf numFmtId="0" fontId="5" fillId="0" borderId="0" xfId="20" applyFont="1" applyAlignment="1">
      <alignment horizontal="centerContinuous" wrapText="1"/>
      <protection/>
    </xf>
    <xf numFmtId="0" fontId="0" fillId="0" borderId="23" xfId="20" applyFont="1" applyBorder="1" applyAlignment="1">
      <alignment wrapText="1"/>
      <protection/>
    </xf>
    <xf numFmtId="0" fontId="3" fillId="0" borderId="24" xfId="20" applyFont="1" applyBorder="1" applyAlignment="1">
      <alignment horizontal="centerContinuous"/>
      <protection/>
    </xf>
    <xf numFmtId="0" fontId="3" fillId="0" borderId="25" xfId="20" applyFont="1" applyBorder="1" applyAlignment="1">
      <alignment horizontal="centerContinuous"/>
      <protection/>
    </xf>
    <xf numFmtId="0" fontId="0" fillId="0" borderId="26" xfId="20" applyFont="1" applyBorder="1" applyAlignment="1">
      <alignment/>
      <protection/>
    </xf>
    <xf numFmtId="0" fontId="3" fillId="0" borderId="25" xfId="20" applyFont="1" applyBorder="1" applyAlignment="1">
      <alignment horizontal="centerContinuous" vertical="center"/>
      <protection/>
    </xf>
    <xf numFmtId="0" fontId="3" fillId="0" borderId="24" xfId="20" applyFont="1" applyBorder="1" applyAlignment="1">
      <alignment horizontal="centerContinuous" vertical="center" wrapText="1"/>
      <protection/>
    </xf>
    <xf numFmtId="0" fontId="0" fillId="0" borderId="24" xfId="20" applyFont="1" applyBorder="1" applyAlignment="1">
      <alignment horizontal="centerContinuous"/>
      <protection/>
    </xf>
    <xf numFmtId="0" fontId="0" fillId="0" borderId="27" xfId="20" applyFont="1" applyBorder="1" applyAlignment="1">
      <alignment horizontal="center"/>
      <protection/>
    </xf>
    <xf numFmtId="0" fontId="3" fillId="0" borderId="28" xfId="20" applyFont="1" applyBorder="1" applyAlignment="1">
      <alignment wrapText="1"/>
      <protection/>
    </xf>
    <xf numFmtId="0" fontId="3" fillId="0" borderId="29" xfId="20" applyFont="1" applyBorder="1" applyAlignment="1">
      <alignment/>
      <protection/>
    </xf>
    <xf numFmtId="0" fontId="3" fillId="0" borderId="3" xfId="20" applyFont="1" applyBorder="1" applyAlignment="1">
      <alignment horizontal="centerContinuous"/>
      <protection/>
    </xf>
    <xf numFmtId="0" fontId="3" fillId="0" borderId="30" xfId="20" applyFont="1" applyBorder="1" applyAlignment="1">
      <alignment horizontal="center"/>
      <protection/>
    </xf>
    <xf numFmtId="49" fontId="3" fillId="0" borderId="28" xfId="20" applyNumberFormat="1" applyFont="1" applyBorder="1" applyAlignment="1">
      <alignment horizontal="center" vertical="top" wrapText="1"/>
      <protection/>
    </xf>
    <xf numFmtId="49" fontId="3" fillId="0" borderId="31" xfId="20" applyNumberFormat="1" applyFont="1" applyBorder="1" applyAlignment="1">
      <alignment horizontal="center" vertical="center" wrapText="1"/>
      <protection/>
    </xf>
    <xf numFmtId="49" fontId="3" fillId="0" borderId="0" xfId="20" applyNumberFormat="1" applyFont="1" applyAlignment="1">
      <alignment horizontal="center" vertical="center" wrapText="1"/>
      <protection/>
    </xf>
    <xf numFmtId="49" fontId="3" fillId="0" borderId="29" xfId="20" applyNumberFormat="1" applyFont="1" applyBorder="1" applyAlignment="1">
      <alignment horizontal="center" vertical="center" wrapText="1"/>
      <protection/>
    </xf>
    <xf numFmtId="0" fontId="3" fillId="0" borderId="29" xfId="20" applyFont="1" applyBorder="1" applyAlignment="1">
      <alignment horizontal="center" vertical="center" wrapText="1"/>
      <protection/>
    </xf>
    <xf numFmtId="49" fontId="3" fillId="0" borderId="30" xfId="20" applyNumberFormat="1" applyFont="1" applyBorder="1" applyAlignment="1">
      <alignment horizontal="center" vertical="center" wrapText="1"/>
      <protection/>
    </xf>
    <xf numFmtId="49" fontId="3" fillId="0" borderId="0" xfId="20" applyNumberFormat="1" applyFont="1">
      <alignment/>
      <protection/>
    </xf>
    <xf numFmtId="0" fontId="3" fillId="0" borderId="10" xfId="20" applyFont="1" applyBorder="1" applyAlignment="1">
      <alignment horizontal="center" wrapText="1"/>
      <protection/>
    </xf>
    <xf numFmtId="0" fontId="3" fillId="0" borderId="1" xfId="20" applyFont="1" applyBorder="1" applyAlignment="1">
      <alignment horizontal="center"/>
      <protection/>
    </xf>
    <xf numFmtId="0" fontId="3" fillId="0" borderId="11" xfId="20" applyFont="1" applyBorder="1" applyAlignment="1">
      <alignment horizontal="center"/>
      <protection/>
    </xf>
    <xf numFmtId="3" fontId="4" fillId="0" borderId="32" xfId="20" applyNumberFormat="1" applyFont="1" applyBorder="1">
      <alignment/>
      <protection/>
    </xf>
    <xf numFmtId="201" fontId="20" fillId="0" borderId="1" xfId="20" applyNumberFormat="1" applyFont="1" applyBorder="1">
      <alignment/>
      <protection/>
    </xf>
    <xf numFmtId="201" fontId="20" fillId="0" borderId="11" xfId="20" applyNumberFormat="1" applyFont="1" applyBorder="1">
      <alignment/>
      <protection/>
    </xf>
    <xf numFmtId="212" fontId="2" fillId="0" borderId="1" xfId="20" applyNumberFormat="1" applyFont="1" applyBorder="1">
      <alignment/>
      <protection/>
    </xf>
    <xf numFmtId="212" fontId="2" fillId="0" borderId="11" xfId="20" applyNumberFormat="1" applyFont="1" applyBorder="1">
      <alignment/>
      <protection/>
    </xf>
    <xf numFmtId="3" fontId="3" fillId="0" borderId="32" xfId="20" applyNumberFormat="1" applyFont="1" applyBorder="1">
      <alignment/>
      <protection/>
    </xf>
    <xf numFmtId="0" fontId="4" fillId="0" borderId="0" xfId="20" applyFont="1">
      <alignment/>
      <protection/>
    </xf>
    <xf numFmtId="0" fontId="4" fillId="0" borderId="33" xfId="20" applyFont="1" applyBorder="1" applyAlignment="1">
      <alignment horizontal="right" wrapText="1"/>
      <protection/>
    </xf>
    <xf numFmtId="212" fontId="2" fillId="0" borderId="13" xfId="20" applyNumberFormat="1" applyFont="1" applyBorder="1">
      <alignment/>
      <protection/>
    </xf>
    <xf numFmtId="212" fontId="2" fillId="0" borderId="14" xfId="20" applyNumberFormat="1" applyFont="1" applyBorder="1">
      <alignment/>
      <protection/>
    </xf>
    <xf numFmtId="0" fontId="3" fillId="0" borderId="0" xfId="20" applyFont="1" applyBorder="1" applyAlignment="1">
      <alignment/>
      <protection/>
    </xf>
    <xf numFmtId="0" fontId="2" fillId="0" borderId="0" xfId="20" applyFont="1" applyBorder="1">
      <alignment/>
      <protection/>
    </xf>
    <xf numFmtId="49" fontId="2" fillId="0" borderId="0" xfId="20" applyNumberFormat="1" applyFont="1" applyBorder="1" applyAlignment="1">
      <alignment/>
      <protection/>
    </xf>
    <xf numFmtId="49" fontId="2" fillId="0" borderId="0" xfId="20" applyNumberFormat="1" applyFont="1" applyBorder="1" applyAlignment="1">
      <alignment horizontal="center" vertical="top" wrapText="1"/>
      <protection/>
    </xf>
    <xf numFmtId="0" fontId="2" fillId="0" borderId="0" xfId="20" applyFont="1" applyBorder="1" applyAlignment="1">
      <alignment horizontal="center"/>
      <protection/>
    </xf>
    <xf numFmtId="0" fontId="20" fillId="0" borderId="0" xfId="20" applyFont="1" applyBorder="1" applyAlignment="1">
      <alignment wrapText="1"/>
      <protection/>
    </xf>
    <xf numFmtId="0" fontId="20" fillId="0" borderId="0" xfId="20" applyFont="1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3" fillId="0" borderId="0" xfId="20" applyFont="1" applyAlignment="1">
      <alignment wrapText="1"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centerContinuous" wrapText="1"/>
      <protection/>
    </xf>
    <xf numFmtId="0" fontId="0" fillId="0" borderId="34" xfId="20" applyFont="1" applyBorder="1" applyAlignment="1">
      <alignment horizontal="center" vertical="top" wrapText="1"/>
      <protection/>
    </xf>
    <xf numFmtId="0" fontId="0" fillId="0" borderId="26" xfId="20" applyFont="1" applyBorder="1" applyAlignment="1">
      <alignment horizontal="center" vertical="top"/>
      <protection/>
    </xf>
    <xf numFmtId="0" fontId="0" fillId="0" borderId="26" xfId="20" applyFont="1" applyBorder="1" applyAlignment="1">
      <alignment horizontal="centerContinuous"/>
      <protection/>
    </xf>
    <xf numFmtId="0" fontId="0" fillId="0" borderId="25" xfId="20" applyFont="1" applyBorder="1" applyAlignment="1">
      <alignment horizontal="centerContinuous" vertical="center"/>
      <protection/>
    </xf>
    <xf numFmtId="0" fontId="0" fillId="0" borderId="24" xfId="20" applyFont="1" applyBorder="1" applyAlignment="1">
      <alignment horizontal="centerContinuous" vertical="center" wrapText="1"/>
      <protection/>
    </xf>
    <xf numFmtId="0" fontId="0" fillId="0" borderId="27" xfId="20" applyFont="1" applyBorder="1" applyAlignment="1">
      <alignment horizontal="center" vertical="top" wrapText="1"/>
      <protection/>
    </xf>
    <xf numFmtId="0" fontId="3" fillId="0" borderId="35" xfId="20" applyFont="1" applyBorder="1" applyAlignment="1">
      <alignment horizontal="center" vertical="top" wrapText="1"/>
      <protection/>
    </xf>
    <xf numFmtId="0" fontId="3" fillId="0" borderId="29" xfId="20" applyFont="1" applyBorder="1" applyAlignment="1">
      <alignment horizontal="center" vertical="top"/>
      <protection/>
    </xf>
    <xf numFmtId="0" fontId="3" fillId="0" borderId="6" xfId="20" applyFont="1" applyBorder="1" applyAlignment="1">
      <alignment horizontal="centerContinuous"/>
      <protection/>
    </xf>
    <xf numFmtId="0" fontId="3" fillId="0" borderId="17" xfId="20" applyFont="1" applyBorder="1" applyAlignment="1">
      <alignment horizontal="centerContinuous"/>
      <protection/>
    </xf>
    <xf numFmtId="0" fontId="3" fillId="0" borderId="30" xfId="20" applyFont="1" applyBorder="1" applyAlignment="1">
      <alignment/>
      <protection/>
    </xf>
    <xf numFmtId="0" fontId="3" fillId="0" borderId="29" xfId="20" applyFont="1" applyBorder="1" applyAlignment="1">
      <alignment horizontal="center" vertical="top" wrapText="1"/>
      <protection/>
    </xf>
    <xf numFmtId="0" fontId="3" fillId="0" borderId="30" xfId="20" applyFont="1" applyBorder="1" applyAlignment="1">
      <alignment horizontal="center" vertical="top" wrapText="1"/>
      <protection/>
    </xf>
    <xf numFmtId="0" fontId="3" fillId="0" borderId="10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wrapText="1"/>
      <protection/>
    </xf>
    <xf numFmtId="0" fontId="20" fillId="0" borderId="35" xfId="20" applyFont="1" applyBorder="1">
      <alignment/>
      <protection/>
    </xf>
    <xf numFmtId="0" fontId="4" fillId="0" borderId="10" xfId="20" applyFont="1" applyBorder="1" applyAlignment="1">
      <alignment horizontal="right" wrapText="1"/>
      <protection/>
    </xf>
    <xf numFmtId="3" fontId="21" fillId="0" borderId="0" xfId="20" applyNumberFormat="1" applyFont="1">
      <alignment/>
      <protection/>
    </xf>
    <xf numFmtId="0" fontId="21" fillId="0" borderId="0" xfId="20" applyFont="1">
      <alignment/>
      <protection/>
    </xf>
    <xf numFmtId="0" fontId="4" fillId="0" borderId="12" xfId="20" applyFont="1" applyBorder="1" applyAlignment="1">
      <alignment horizontal="right" wrapText="1"/>
      <protection/>
    </xf>
    <xf numFmtId="0" fontId="4" fillId="0" borderId="0" xfId="20" applyFont="1" applyBorder="1" applyAlignment="1">
      <alignment horizontal="right" wrapText="1"/>
      <protection/>
    </xf>
    <xf numFmtId="212" fontId="2" fillId="0" borderId="0" xfId="20" applyNumberFormat="1" applyFont="1" applyBorder="1">
      <alignment/>
      <protection/>
    </xf>
    <xf numFmtId="0" fontId="2" fillId="0" borderId="0" xfId="20" applyFont="1" applyAlignment="1">
      <alignment wrapText="1"/>
      <protection/>
    </xf>
    <xf numFmtId="49" fontId="3" fillId="0" borderId="0" xfId="20" applyNumberFormat="1" applyFont="1" applyBorder="1" applyAlignment="1">
      <alignment vertical="top" wrapText="1"/>
      <protection/>
    </xf>
    <xf numFmtId="49" fontId="3" fillId="0" borderId="0" xfId="20" applyNumberFormat="1" applyFont="1" applyBorder="1" applyAlignment="1">
      <alignment horizontal="center" vertical="top" wrapText="1"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49" fontId="0" fillId="0" borderId="0" xfId="20" applyNumberFormat="1" applyFont="1" applyBorder="1" applyAlignment="1">
      <alignment horizontal="center" vertical="top" wrapText="1"/>
      <protection/>
    </xf>
    <xf numFmtId="0" fontId="0" fillId="0" borderId="0" xfId="20" applyFont="1" applyBorder="1">
      <alignment/>
      <protection/>
    </xf>
    <xf numFmtId="3" fontId="20" fillId="0" borderId="0" xfId="20" applyNumberFormat="1" applyFont="1" applyBorder="1">
      <alignment/>
      <protection/>
    </xf>
    <xf numFmtId="0" fontId="1" fillId="0" borderId="0" xfId="20" applyFont="1" applyAlignment="1">
      <alignment horizontal="center"/>
      <protection/>
    </xf>
    <xf numFmtId="0" fontId="2" fillId="0" borderId="7" xfId="20" applyFont="1" applyBorder="1">
      <alignment/>
      <protection/>
    </xf>
    <xf numFmtId="0" fontId="3" fillId="0" borderId="7" xfId="20" applyFont="1" applyBorder="1" applyAlignment="1">
      <alignment horizontal="right"/>
      <protection/>
    </xf>
    <xf numFmtId="0" fontId="0" fillId="0" borderId="8" xfId="20" applyFont="1" applyBorder="1" applyAlignment="1">
      <alignment horizontal="center" wrapText="1"/>
      <protection/>
    </xf>
    <xf numFmtId="3" fontId="2" fillId="0" borderId="16" xfId="20" applyNumberFormat="1" applyFont="1" applyBorder="1" applyAlignment="1">
      <alignment horizontal="center"/>
      <protection/>
    </xf>
    <xf numFmtId="0" fontId="0" fillId="0" borderId="10" xfId="20" applyFont="1" applyBorder="1" applyAlignment="1">
      <alignment horizontal="center" wrapText="1"/>
      <protection/>
    </xf>
    <xf numFmtId="3" fontId="2" fillId="0" borderId="11" xfId="20" applyNumberFormat="1" applyFont="1" applyBorder="1" applyAlignment="1">
      <alignment horizontal="center"/>
      <protection/>
    </xf>
    <xf numFmtId="0" fontId="2" fillId="0" borderId="1" xfId="20" applyFont="1" applyBorder="1">
      <alignment/>
      <protection/>
    </xf>
    <xf numFmtId="0" fontId="4" fillId="0" borderId="10" xfId="20" applyFont="1" applyBorder="1" applyAlignment="1">
      <alignment wrapText="1"/>
      <protection/>
    </xf>
    <xf numFmtId="3" fontId="8" fillId="0" borderId="11" xfId="20" applyNumberFormat="1" applyFont="1" applyBorder="1" applyAlignment="1">
      <alignment horizontal="right"/>
      <protection/>
    </xf>
    <xf numFmtId="0" fontId="0" fillId="0" borderId="10" xfId="20" applyFont="1" applyBorder="1" applyAlignment="1">
      <alignment wrapText="1"/>
      <protection/>
    </xf>
    <xf numFmtId="3" fontId="2" fillId="0" borderId="11" xfId="20" applyNumberFormat="1" applyFont="1" applyBorder="1" applyAlignment="1">
      <alignment horizontal="right"/>
      <protection/>
    </xf>
    <xf numFmtId="0" fontId="0" fillId="0" borderId="18" xfId="20" applyFont="1" applyBorder="1" applyAlignment="1">
      <alignment wrapText="1"/>
      <protection/>
    </xf>
    <xf numFmtId="3" fontId="2" fillId="0" borderId="36" xfId="20" applyNumberFormat="1" applyFont="1" applyBorder="1" applyAlignment="1">
      <alignment horizontal="right"/>
      <protection/>
    </xf>
    <xf numFmtId="0" fontId="0" fillId="0" borderId="22" xfId="20" applyFont="1" applyBorder="1" applyAlignment="1">
      <alignment wrapText="1"/>
      <protection/>
    </xf>
    <xf numFmtId="3" fontId="2" fillId="0" borderId="9" xfId="20" applyNumberFormat="1" applyFont="1" applyBorder="1" applyAlignment="1">
      <alignment horizontal="right"/>
      <protection/>
    </xf>
    <xf numFmtId="0" fontId="4" fillId="0" borderId="10" xfId="20" applyFont="1" applyBorder="1" applyAlignment="1">
      <alignment horizontal="left"/>
      <protection/>
    </xf>
    <xf numFmtId="0" fontId="4" fillId="0" borderId="12" xfId="20" applyFont="1" applyBorder="1" applyAlignment="1">
      <alignment horizontal="left"/>
      <protection/>
    </xf>
    <xf numFmtId="3" fontId="8" fillId="0" borderId="14" xfId="20" applyNumberFormat="1" applyFont="1" applyBorder="1" applyAlignment="1">
      <alignment horizontal="right"/>
      <protection/>
    </xf>
    <xf numFmtId="0" fontId="7" fillId="0" borderId="0" xfId="20" applyFont="1">
      <alignment/>
      <protection/>
    </xf>
    <xf numFmtId="3" fontId="2" fillId="0" borderId="0" xfId="20" applyNumberFormat="1" applyFont="1">
      <alignment/>
      <protection/>
    </xf>
    <xf numFmtId="3" fontId="2" fillId="0" borderId="0" xfId="20" applyNumberFormat="1" applyFont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Continuous" vertical="center" wrapText="1"/>
      <protection/>
    </xf>
    <xf numFmtId="0" fontId="20" fillId="0" borderId="3" xfId="20" applyFont="1" applyBorder="1" applyAlignment="1">
      <alignment horizontal="centerContinuous"/>
      <protection/>
    </xf>
    <xf numFmtId="0" fontId="3" fillId="0" borderId="16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 wrapText="1"/>
      <protection/>
    </xf>
    <xf numFmtId="164" fontId="3" fillId="0" borderId="10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/>
      <protection/>
    </xf>
    <xf numFmtId="164" fontId="3" fillId="0" borderId="11" xfId="20" applyNumberFormat="1" applyFont="1" applyBorder="1" applyAlignment="1">
      <alignment horizontal="center"/>
      <protection/>
    </xf>
    <xf numFmtId="3" fontId="2" fillId="0" borderId="1" xfId="20" applyNumberFormat="1" applyFont="1" applyBorder="1" applyAlignment="1">
      <alignment horizontal="right"/>
      <protection/>
    </xf>
    <xf numFmtId="164" fontId="2" fillId="0" borderId="1" xfId="20" applyNumberFormat="1" applyFont="1" applyBorder="1">
      <alignment/>
      <protection/>
    </xf>
    <xf numFmtId="0" fontId="3" fillId="0" borderId="12" xfId="20" applyFont="1" applyBorder="1" applyAlignment="1">
      <alignment wrapText="1"/>
      <protection/>
    </xf>
    <xf numFmtId="164" fontId="2" fillId="0" borderId="13" xfId="20" applyNumberFormat="1" applyFont="1" applyBorder="1">
      <alignment/>
      <protection/>
    </xf>
    <xf numFmtId="3" fontId="2" fillId="0" borderId="13" xfId="20" applyNumberFormat="1" applyFont="1" applyBorder="1" applyAlignment="1">
      <alignment horizontal="right"/>
      <protection/>
    </xf>
    <xf numFmtId="3" fontId="2" fillId="0" borderId="14" xfId="20" applyNumberFormat="1" applyFont="1" applyBorder="1" applyAlignment="1">
      <alignment horizontal="right"/>
      <protection/>
    </xf>
    <xf numFmtId="0" fontId="4" fillId="0" borderId="19" xfId="20" applyFont="1" applyBorder="1" applyAlignment="1">
      <alignment horizontal="right" wrapText="1"/>
      <protection/>
    </xf>
    <xf numFmtId="3" fontId="2" fillId="0" borderId="37" xfId="20" applyNumberFormat="1" applyFont="1" applyBorder="1" applyAlignment="1">
      <alignment horizontal="right"/>
      <protection/>
    </xf>
    <xf numFmtId="3" fontId="2" fillId="0" borderId="38" xfId="20" applyNumberFormat="1" applyFont="1" applyBorder="1" applyAlignment="1">
      <alignment horizontal="right"/>
      <protection/>
    </xf>
    <xf numFmtId="4" fontId="8" fillId="0" borderId="0" xfId="20" applyNumberFormat="1" applyFont="1" applyBorder="1">
      <alignment/>
      <protection/>
    </xf>
    <xf numFmtId="3" fontId="2" fillId="0" borderId="0" xfId="20" applyNumberFormat="1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4" fontId="4" fillId="0" borderId="0" xfId="20" applyNumberFormat="1" applyFont="1" applyBorder="1">
      <alignment/>
      <protection/>
    </xf>
    <xf numFmtId="210" fontId="4" fillId="0" borderId="0" xfId="20" applyNumberFormat="1" applyFont="1" applyBorder="1">
      <alignment/>
      <protection/>
    </xf>
    <xf numFmtId="211" fontId="4" fillId="0" borderId="0" xfId="20" applyNumberFormat="1" applyFont="1" applyBorder="1">
      <alignment/>
      <protection/>
    </xf>
    <xf numFmtId="164" fontId="4" fillId="0" borderId="0" xfId="20" applyNumberFormat="1" applyFont="1" applyBorder="1">
      <alignment/>
      <protection/>
    </xf>
    <xf numFmtId="211" fontId="2" fillId="0" borderId="0" xfId="20" applyNumberFormat="1" applyFont="1" applyBorder="1">
      <alignment/>
      <protection/>
    </xf>
    <xf numFmtId="164" fontId="2" fillId="0" borderId="0" xfId="20" applyNumberFormat="1" applyFont="1" applyBorder="1">
      <alignment/>
      <protection/>
    </xf>
    <xf numFmtId="4" fontId="8" fillId="0" borderId="0" xfId="20" applyNumberFormat="1" applyFont="1">
      <alignment/>
      <protection/>
    </xf>
    <xf numFmtId="164" fontId="2" fillId="0" borderId="0" xfId="20" applyNumberFormat="1" applyFont="1">
      <alignment/>
      <protection/>
    </xf>
    <xf numFmtId="0" fontId="20" fillId="0" borderId="0" xfId="20" applyFont="1" applyAlignment="1">
      <alignment horizontal="right"/>
      <protection/>
    </xf>
    <xf numFmtId="0" fontId="10" fillId="0" borderId="0" xfId="20" applyFont="1" applyAlignment="1">
      <alignment horizontal="centerContinuous"/>
      <protection/>
    </xf>
    <xf numFmtId="0" fontId="10" fillId="0" borderId="7" xfId="20" applyFont="1" applyBorder="1" applyAlignment="1">
      <alignment horizontal="centerContinuous"/>
      <protection/>
    </xf>
    <xf numFmtId="0" fontId="0" fillId="0" borderId="7" xfId="20" applyFont="1" applyBorder="1" applyAlignment="1">
      <alignment horizontal="centerContinuous"/>
      <protection/>
    </xf>
    <xf numFmtId="164" fontId="2" fillId="0" borderId="11" xfId="20" applyNumberFormat="1" applyFont="1" applyBorder="1">
      <alignment/>
      <protection/>
    </xf>
    <xf numFmtId="0" fontId="2" fillId="0" borderId="10" xfId="20" applyFont="1" applyBorder="1" applyAlignment="1">
      <alignment/>
      <protection/>
    </xf>
    <xf numFmtId="0" fontId="6" fillId="0" borderId="10" xfId="20" applyFont="1" applyBorder="1" applyAlignment="1">
      <alignment horizontal="center" wrapText="1"/>
      <protection/>
    </xf>
    <xf numFmtId="0" fontId="8" fillId="0" borderId="10" xfId="20" applyFont="1" applyBorder="1" applyAlignment="1">
      <alignment wrapText="1"/>
      <protection/>
    </xf>
    <xf numFmtId="0" fontId="2" fillId="0" borderId="10" xfId="20" applyFont="1" applyBorder="1" applyAlignment="1">
      <alignment wrapText="1"/>
      <protection/>
    </xf>
    <xf numFmtId="0" fontId="20" fillId="0" borderId="17" xfId="20" applyFont="1" applyBorder="1">
      <alignment/>
      <protection/>
    </xf>
    <xf numFmtId="0" fontId="20" fillId="0" borderId="1" xfId="20" applyFont="1" applyBorder="1">
      <alignment/>
      <protection/>
    </xf>
    <xf numFmtId="0" fontId="4" fillId="0" borderId="12" xfId="20" applyFont="1" applyBorder="1" applyAlignment="1">
      <alignment wrapText="1"/>
      <protection/>
    </xf>
    <xf numFmtId="0" fontId="20" fillId="0" borderId="13" xfId="20" applyFont="1" applyBorder="1">
      <alignment/>
      <protection/>
    </xf>
    <xf numFmtId="164" fontId="2" fillId="0" borderId="14" xfId="20" applyNumberFormat="1" applyFont="1" applyBorder="1">
      <alignment/>
      <protection/>
    </xf>
    <xf numFmtId="0" fontId="0" fillId="0" borderId="0" xfId="20" applyNumberFormat="1" applyFont="1" applyBorder="1">
      <alignment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Pasv03_200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externalLink" Target="externalLinks/externalLink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budz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ac-fond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-konso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PB-i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PB-izd-m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PB-ekon-klasif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5SBizdev_iene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6SB%20-ekon-klasi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SB-zied-dav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  <sheetDataSet>
      <sheetData sheetId="1">
        <row r="5">
          <cell r="D5">
            <v>269669</v>
          </cell>
        </row>
        <row r="6">
          <cell r="D6">
            <v>15658</v>
          </cell>
        </row>
        <row r="7">
          <cell r="D7">
            <v>2640</v>
          </cell>
        </row>
        <row r="8">
          <cell r="D8">
            <v>251371</v>
          </cell>
        </row>
        <row r="9">
          <cell r="D9">
            <v>273782</v>
          </cell>
        </row>
        <row r="10">
          <cell r="D10">
            <v>15658</v>
          </cell>
        </row>
        <row r="11">
          <cell r="D11">
            <v>2640</v>
          </cell>
        </row>
        <row r="12">
          <cell r="D12">
            <v>255484</v>
          </cell>
        </row>
        <row r="13">
          <cell r="D13">
            <v>-4113</v>
          </cell>
        </row>
        <row r="14">
          <cell r="D14">
            <v>1339</v>
          </cell>
        </row>
        <row r="15">
          <cell r="D15">
            <v>5570</v>
          </cell>
        </row>
        <row r="16">
          <cell r="D16">
            <v>3373</v>
          </cell>
        </row>
        <row r="17">
          <cell r="D17">
            <v>2197</v>
          </cell>
        </row>
        <row r="18">
          <cell r="D18">
            <v>7394</v>
          </cell>
        </row>
        <row r="19">
          <cell r="D19">
            <v>6536</v>
          </cell>
        </row>
        <row r="20">
          <cell r="D20">
            <v>858</v>
          </cell>
        </row>
        <row r="21">
          <cell r="D21">
            <v>-5452</v>
          </cell>
        </row>
        <row r="22">
          <cell r="D22">
            <v>5452</v>
          </cell>
        </row>
        <row r="23">
          <cell r="D23">
            <v>9542</v>
          </cell>
        </row>
        <row r="24">
          <cell r="D24">
            <v>10907</v>
          </cell>
        </row>
        <row r="25">
          <cell r="D25">
            <v>10907</v>
          </cell>
        </row>
        <row r="26">
          <cell r="D26">
            <v>-3163</v>
          </cell>
        </row>
        <row r="27">
          <cell r="D27">
            <v>3163</v>
          </cell>
        </row>
        <row r="29">
          <cell r="D29">
            <v>5211</v>
          </cell>
        </row>
        <row r="30">
          <cell r="D30">
            <v>-15507</v>
          </cell>
        </row>
        <row r="31">
          <cell r="D31">
            <v>-10799</v>
          </cell>
        </row>
        <row r="32">
          <cell r="D32">
            <v>31517</v>
          </cell>
        </row>
        <row r="33">
          <cell r="D33">
            <v>-16539</v>
          </cell>
        </row>
        <row r="34">
          <cell r="D34">
            <v>-5187</v>
          </cell>
        </row>
        <row r="35">
          <cell r="D35">
            <v>-8770</v>
          </cell>
        </row>
        <row r="36">
          <cell r="D36">
            <v>-2582</v>
          </cell>
        </row>
        <row r="37">
          <cell r="D37">
            <v>9963</v>
          </cell>
        </row>
        <row r="38">
          <cell r="D38">
            <v>-4090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  <sheetDataSet>
      <sheetData sheetId="1">
        <row r="8">
          <cell r="D8">
            <v>1201606</v>
          </cell>
          <cell r="K8">
            <v>1201</v>
          </cell>
        </row>
        <row r="9">
          <cell r="D9">
            <v>638547</v>
          </cell>
          <cell r="K9">
            <v>638</v>
          </cell>
        </row>
        <row r="10">
          <cell r="D10">
            <v>638547</v>
          </cell>
          <cell r="K10">
            <v>638</v>
          </cell>
        </row>
        <row r="11">
          <cell r="D11">
            <v>0</v>
          </cell>
          <cell r="K11">
            <v>0</v>
          </cell>
        </row>
        <row r="12">
          <cell r="D12">
            <v>563059</v>
          </cell>
          <cell r="K12">
            <v>563</v>
          </cell>
        </row>
        <row r="13">
          <cell r="D13">
            <v>404512</v>
          </cell>
          <cell r="K13">
            <v>404</v>
          </cell>
        </row>
        <row r="14">
          <cell r="D14">
            <v>158547</v>
          </cell>
          <cell r="K14">
            <v>159</v>
          </cell>
        </row>
        <row r="15">
          <cell r="D15">
            <v>12174</v>
          </cell>
          <cell r="K15">
            <v>12</v>
          </cell>
        </row>
        <row r="16">
          <cell r="D16">
            <v>10754</v>
          </cell>
          <cell r="K16">
            <v>11</v>
          </cell>
        </row>
        <row r="17">
          <cell r="D17">
            <v>10754</v>
          </cell>
          <cell r="K17">
            <v>11</v>
          </cell>
        </row>
        <row r="18">
          <cell r="D18">
            <v>1420</v>
          </cell>
          <cell r="K18">
            <v>1</v>
          </cell>
        </row>
        <row r="19">
          <cell r="D19">
            <v>1420</v>
          </cell>
          <cell r="K19">
            <v>1</v>
          </cell>
        </row>
        <row r="20">
          <cell r="D20">
            <v>28444</v>
          </cell>
          <cell r="K20">
            <v>28</v>
          </cell>
        </row>
        <row r="21">
          <cell r="D21">
            <v>28444</v>
          </cell>
          <cell r="K21">
            <v>28</v>
          </cell>
        </row>
        <row r="22">
          <cell r="D22">
            <v>28444</v>
          </cell>
          <cell r="K22">
            <v>28</v>
          </cell>
        </row>
        <row r="23">
          <cell r="K23">
            <v>0</v>
          </cell>
        </row>
        <row r="24">
          <cell r="D24">
            <v>0</v>
          </cell>
          <cell r="K24">
            <v>0</v>
          </cell>
        </row>
        <row r="25">
          <cell r="K25">
            <v>0</v>
          </cell>
        </row>
        <row r="26">
          <cell r="D26">
            <v>146141</v>
          </cell>
          <cell r="K26">
            <v>146</v>
          </cell>
        </row>
        <row r="27">
          <cell r="D27">
            <v>146141</v>
          </cell>
          <cell r="K27">
            <v>146</v>
          </cell>
        </row>
        <row r="28">
          <cell r="D28">
            <v>146141</v>
          </cell>
          <cell r="K28">
            <v>146</v>
          </cell>
        </row>
        <row r="29">
          <cell r="K29">
            <v>0</v>
          </cell>
        </row>
        <row r="30">
          <cell r="D30">
            <v>0</v>
          </cell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D33">
            <v>12227</v>
          </cell>
          <cell r="K33">
            <v>12</v>
          </cell>
        </row>
        <row r="34">
          <cell r="D34">
            <v>10086</v>
          </cell>
          <cell r="K34">
            <v>10</v>
          </cell>
        </row>
        <row r="35">
          <cell r="D35">
            <v>10086</v>
          </cell>
          <cell r="K35">
            <v>10</v>
          </cell>
        </row>
        <row r="36">
          <cell r="K36">
            <v>0</v>
          </cell>
        </row>
        <row r="37">
          <cell r="D37">
            <v>2141</v>
          </cell>
          <cell r="K37">
            <v>2</v>
          </cell>
        </row>
        <row r="38">
          <cell r="D38">
            <v>2141</v>
          </cell>
          <cell r="K38">
            <v>2</v>
          </cell>
        </row>
        <row r="39">
          <cell r="K39">
            <v>0</v>
          </cell>
        </row>
        <row r="40">
          <cell r="D40">
            <v>503945</v>
          </cell>
          <cell r="K40">
            <v>504</v>
          </cell>
        </row>
        <row r="41">
          <cell r="D41">
            <v>124129</v>
          </cell>
          <cell r="K41">
            <v>124</v>
          </cell>
        </row>
        <row r="42">
          <cell r="D42">
            <v>124129</v>
          </cell>
          <cell r="K42">
            <v>124</v>
          </cell>
        </row>
        <row r="43">
          <cell r="D43">
            <v>379816</v>
          </cell>
          <cell r="K43">
            <v>380</v>
          </cell>
        </row>
        <row r="44">
          <cell r="D44">
            <v>379816</v>
          </cell>
          <cell r="K44">
            <v>380</v>
          </cell>
        </row>
        <row r="45">
          <cell r="D45">
            <v>146180</v>
          </cell>
          <cell r="K45">
            <v>146</v>
          </cell>
        </row>
        <row r="46">
          <cell r="D46">
            <v>105131</v>
          </cell>
          <cell r="K46">
            <v>105</v>
          </cell>
        </row>
        <row r="47">
          <cell r="D47">
            <v>105131</v>
          </cell>
          <cell r="K47">
            <v>105</v>
          </cell>
        </row>
        <row r="48">
          <cell r="K48">
            <v>0</v>
          </cell>
        </row>
        <row r="49">
          <cell r="D49">
            <v>41049</v>
          </cell>
          <cell r="K49">
            <v>41</v>
          </cell>
        </row>
        <row r="50">
          <cell r="D50">
            <v>1127</v>
          </cell>
          <cell r="K50">
            <v>1</v>
          </cell>
        </row>
        <row r="51">
          <cell r="D51">
            <v>39922</v>
          </cell>
          <cell r="K51">
            <v>40</v>
          </cell>
        </row>
        <row r="52">
          <cell r="D52">
            <v>113954</v>
          </cell>
          <cell r="K52">
            <v>114</v>
          </cell>
        </row>
        <row r="53">
          <cell r="D53">
            <v>0</v>
          </cell>
          <cell r="K53">
            <v>0</v>
          </cell>
        </row>
        <row r="54">
          <cell r="K54">
            <v>0</v>
          </cell>
        </row>
        <row r="55">
          <cell r="D55">
            <v>113954</v>
          </cell>
          <cell r="K55">
            <v>114</v>
          </cell>
        </row>
        <row r="56">
          <cell r="D56">
            <v>113954</v>
          </cell>
          <cell r="K56">
            <v>114</v>
          </cell>
        </row>
        <row r="57">
          <cell r="D57">
            <v>0</v>
          </cell>
          <cell r="K57">
            <v>0</v>
          </cell>
        </row>
        <row r="58">
          <cell r="D58">
            <v>0</v>
          </cell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D61">
            <v>0</v>
          </cell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9040</v>
          </cell>
          <cell r="K64">
            <v>9</v>
          </cell>
        </row>
        <row r="65">
          <cell r="D65">
            <v>0</v>
          </cell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D68">
            <v>9040</v>
          </cell>
          <cell r="K68">
            <v>9</v>
          </cell>
        </row>
        <row r="69">
          <cell r="D69">
            <v>4369</v>
          </cell>
          <cell r="K69">
            <v>4</v>
          </cell>
        </row>
        <row r="70">
          <cell r="D70">
            <v>4671</v>
          </cell>
          <cell r="K70">
            <v>5</v>
          </cell>
        </row>
        <row r="71">
          <cell r="D71">
            <v>66762</v>
          </cell>
          <cell r="K71">
            <v>67</v>
          </cell>
        </row>
        <row r="72">
          <cell r="D72">
            <v>66762</v>
          </cell>
          <cell r="K72">
            <v>67</v>
          </cell>
        </row>
        <row r="73">
          <cell r="D73">
            <v>66762</v>
          </cell>
          <cell r="K73">
            <v>67</v>
          </cell>
        </row>
        <row r="74">
          <cell r="K74">
            <v>0</v>
          </cell>
        </row>
        <row r="75">
          <cell r="D75">
            <v>0</v>
          </cell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D78">
            <v>162739</v>
          </cell>
          <cell r="K78">
            <v>163</v>
          </cell>
        </row>
        <row r="79">
          <cell r="D79">
            <v>147100</v>
          </cell>
          <cell r="K79">
            <v>147</v>
          </cell>
        </row>
        <row r="80">
          <cell r="D80">
            <v>147100</v>
          </cell>
          <cell r="K80">
            <v>147</v>
          </cell>
        </row>
        <row r="81">
          <cell r="D81">
            <v>15639</v>
          </cell>
          <cell r="K81">
            <v>16</v>
          </cell>
        </row>
        <row r="82">
          <cell r="D82">
            <v>15639</v>
          </cell>
          <cell r="K82">
            <v>16</v>
          </cell>
        </row>
        <row r="83">
          <cell r="D83">
            <v>0</v>
          </cell>
          <cell r="K83">
            <v>0</v>
          </cell>
        </row>
        <row r="84">
          <cell r="D84">
            <v>0</v>
          </cell>
          <cell r="K84">
            <v>0</v>
          </cell>
        </row>
        <row r="85">
          <cell r="K85">
            <v>0</v>
          </cell>
        </row>
        <row r="86">
          <cell r="D86">
            <v>249324</v>
          </cell>
          <cell r="K86">
            <v>249</v>
          </cell>
        </row>
        <row r="87">
          <cell r="D87">
            <v>154761</v>
          </cell>
          <cell r="K87">
            <v>155</v>
          </cell>
        </row>
        <row r="88">
          <cell r="D88">
            <v>154761</v>
          </cell>
          <cell r="K88">
            <v>155</v>
          </cell>
        </row>
        <row r="89">
          <cell r="D89">
            <v>94563</v>
          </cell>
          <cell r="K89">
            <v>94</v>
          </cell>
        </row>
        <row r="90">
          <cell r="D90">
            <v>94563</v>
          </cell>
          <cell r="K90">
            <v>94</v>
          </cell>
        </row>
        <row r="91">
          <cell r="D91">
            <v>249324</v>
          </cell>
          <cell r="K91">
            <v>249</v>
          </cell>
        </row>
        <row r="92">
          <cell r="D92">
            <v>154761</v>
          </cell>
          <cell r="K92">
            <v>155</v>
          </cell>
        </row>
        <row r="93">
          <cell r="D93">
            <v>154761</v>
          </cell>
          <cell r="K93">
            <v>155</v>
          </cell>
        </row>
        <row r="94">
          <cell r="D94">
            <v>94563</v>
          </cell>
          <cell r="K94">
            <v>94</v>
          </cell>
        </row>
        <row r="95">
          <cell r="D95">
            <v>94563</v>
          </cell>
          <cell r="K95">
            <v>94</v>
          </cell>
        </row>
        <row r="96">
          <cell r="D96">
            <v>1386153</v>
          </cell>
          <cell r="K96">
            <v>1386</v>
          </cell>
        </row>
        <row r="97">
          <cell r="D97">
            <v>1386153</v>
          </cell>
          <cell r="K97">
            <v>1386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</sheetNames>
    <sheetDataSet>
      <sheetData sheetId="1">
        <row r="9">
          <cell r="H9">
            <v>206848</v>
          </cell>
        </row>
        <row r="10">
          <cell r="H10">
            <v>112432</v>
          </cell>
        </row>
        <row r="11">
          <cell r="H11">
            <v>86231</v>
          </cell>
        </row>
        <row r="12">
          <cell r="H12">
            <v>13971</v>
          </cell>
        </row>
        <row r="13">
          <cell r="H13">
            <v>13971</v>
          </cell>
        </row>
        <row r="14">
          <cell r="H14">
            <v>68398</v>
          </cell>
        </row>
        <row r="15">
          <cell r="H15">
            <v>50184</v>
          </cell>
        </row>
        <row r="16">
          <cell r="H16">
            <v>16130</v>
          </cell>
        </row>
        <row r="17">
          <cell r="H17">
            <v>2084</v>
          </cell>
        </row>
        <row r="18">
          <cell r="H18">
            <v>3862</v>
          </cell>
        </row>
        <row r="19">
          <cell r="H19">
            <v>7148</v>
          </cell>
        </row>
        <row r="20">
          <cell r="H20">
            <v>9000</v>
          </cell>
        </row>
        <row r="21">
          <cell r="H21">
            <v>10053</v>
          </cell>
        </row>
        <row r="22">
          <cell r="H22">
            <v>200</v>
          </cell>
        </row>
        <row r="23">
          <cell r="H23">
            <v>112232</v>
          </cell>
        </row>
        <row r="24">
          <cell r="H24">
            <v>104387</v>
          </cell>
        </row>
        <row r="25">
          <cell r="H25">
            <v>104387</v>
          </cell>
        </row>
        <row r="26">
          <cell r="H26">
            <v>71130</v>
          </cell>
        </row>
        <row r="27">
          <cell r="H27">
            <v>6799</v>
          </cell>
        </row>
        <row r="28">
          <cell r="H28">
            <v>10863</v>
          </cell>
        </row>
        <row r="29">
          <cell r="H29">
            <v>155</v>
          </cell>
        </row>
        <row r="30">
          <cell r="H30">
            <v>15440</v>
          </cell>
        </row>
        <row r="31">
          <cell r="H31">
            <v>9771</v>
          </cell>
        </row>
        <row r="32">
          <cell r="H32">
            <v>94616</v>
          </cell>
        </row>
        <row r="33">
          <cell r="H33">
            <v>210829</v>
          </cell>
        </row>
        <row r="34">
          <cell r="H34">
            <v>202192</v>
          </cell>
        </row>
        <row r="35">
          <cell r="H35">
            <v>3180</v>
          </cell>
        </row>
        <row r="36">
          <cell r="H36">
            <v>5457</v>
          </cell>
        </row>
        <row r="37">
          <cell r="H37">
            <v>-3981</v>
          </cell>
        </row>
        <row r="38">
          <cell r="H38">
            <v>-1873</v>
          </cell>
        </row>
        <row r="39">
          <cell r="H39">
            <v>208956</v>
          </cell>
        </row>
        <row r="40">
          <cell r="H40">
            <v>-2108</v>
          </cell>
        </row>
        <row r="41">
          <cell r="H41">
            <v>103858</v>
          </cell>
        </row>
        <row r="42">
          <cell r="H42">
            <v>9771</v>
          </cell>
        </row>
        <row r="43">
          <cell r="H43">
            <v>94087</v>
          </cell>
        </row>
        <row r="44">
          <cell r="H44">
            <v>99789</v>
          </cell>
        </row>
        <row r="45">
          <cell r="H45">
            <v>9708</v>
          </cell>
        </row>
        <row r="46">
          <cell r="H46">
            <v>90081</v>
          </cell>
        </row>
        <row r="47">
          <cell r="H47">
            <v>853</v>
          </cell>
        </row>
        <row r="48">
          <cell r="H48">
            <v>853</v>
          </cell>
        </row>
        <row r="49">
          <cell r="H49">
            <v>3216</v>
          </cell>
        </row>
        <row r="50">
          <cell r="H50">
            <v>63</v>
          </cell>
        </row>
        <row r="51">
          <cell r="H51">
            <v>3153</v>
          </cell>
        </row>
        <row r="52">
          <cell r="H52">
            <v>8574</v>
          </cell>
        </row>
        <row r="53">
          <cell r="H53">
            <v>-2536</v>
          </cell>
        </row>
        <row r="54">
          <cell r="H54">
            <v>14355</v>
          </cell>
        </row>
        <row r="55">
          <cell r="H55">
            <v>16891</v>
          </cell>
        </row>
        <row r="56">
          <cell r="H56">
            <v>-2536</v>
          </cell>
        </row>
        <row r="57">
          <cell r="H57">
            <v>-5781</v>
          </cell>
        </row>
        <row r="58">
          <cell r="H58">
            <v>116942</v>
          </cell>
        </row>
        <row r="59">
          <cell r="H59">
            <v>200</v>
          </cell>
        </row>
        <row r="60">
          <cell r="H60">
            <v>116742</v>
          </cell>
        </row>
        <row r="61">
          <cell r="H61">
            <v>112311</v>
          </cell>
        </row>
        <row r="62">
          <cell r="H62">
            <v>200</v>
          </cell>
        </row>
        <row r="63">
          <cell r="H63">
            <v>112111</v>
          </cell>
        </row>
        <row r="64">
          <cell r="H64">
            <v>2327</v>
          </cell>
        </row>
        <row r="65">
          <cell r="H65">
            <v>2327</v>
          </cell>
        </row>
        <row r="66">
          <cell r="H66">
            <v>2304</v>
          </cell>
        </row>
        <row r="67">
          <cell r="H67">
            <v>2304</v>
          </cell>
        </row>
        <row r="68">
          <cell r="H68">
            <v>-12555</v>
          </cell>
        </row>
        <row r="69">
          <cell r="H69">
            <v>663</v>
          </cell>
        </row>
        <row r="70">
          <cell r="H70">
            <v>663</v>
          </cell>
        </row>
        <row r="71">
          <cell r="H71">
            <v>663</v>
          </cell>
        </row>
        <row r="72">
          <cell r="H72">
            <v>-13218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aris"/>
      <sheetName val="feb.labotais"/>
      <sheetName val="MARTS"/>
      <sheetName val="Sheet3"/>
    </sheetNames>
    <sheetDataSet>
      <sheetData sheetId="1">
        <row r="29">
          <cell r="F29">
            <v>0</v>
          </cell>
        </row>
      </sheetData>
      <sheetData sheetId="3">
        <row r="7">
          <cell r="J7" t="str">
            <v>Izpilde no gada sākuma</v>
          </cell>
        </row>
        <row r="9">
          <cell r="J9">
            <v>112432</v>
          </cell>
        </row>
        <row r="10">
          <cell r="J10">
            <v>86231</v>
          </cell>
        </row>
        <row r="11">
          <cell r="J11">
            <v>13971</v>
          </cell>
        </row>
        <row r="12">
          <cell r="J12">
            <v>13971</v>
          </cell>
        </row>
        <row r="13">
          <cell r="J13">
            <v>72260</v>
          </cell>
        </row>
        <row r="14">
          <cell r="J14">
            <v>50184</v>
          </cell>
        </row>
        <row r="15">
          <cell r="J15">
            <v>16130</v>
          </cell>
        </row>
        <row r="16">
          <cell r="J16">
            <v>2084</v>
          </cell>
        </row>
        <row r="17">
          <cell r="J17">
            <v>3862</v>
          </cell>
        </row>
        <row r="18">
          <cell r="J18">
            <v>7148</v>
          </cell>
        </row>
        <row r="19">
          <cell r="J19">
            <v>23</v>
          </cell>
        </row>
        <row r="20">
          <cell r="J20">
            <v>1722</v>
          </cell>
        </row>
        <row r="21">
          <cell r="J21">
            <v>2035</v>
          </cell>
        </row>
        <row r="22">
          <cell r="J22">
            <v>81</v>
          </cell>
        </row>
        <row r="23">
          <cell r="J23">
            <v>847</v>
          </cell>
        </row>
        <row r="24">
          <cell r="J24">
            <v>80</v>
          </cell>
        </row>
        <row r="25">
          <cell r="J25">
            <v>1251</v>
          </cell>
        </row>
        <row r="26">
          <cell r="J26">
            <v>1109</v>
          </cell>
        </row>
        <row r="27">
          <cell r="J27">
            <v>200</v>
          </cell>
        </row>
        <row r="28">
          <cell r="J28">
            <v>909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9000</v>
          </cell>
        </row>
        <row r="32">
          <cell r="J32">
            <v>9000</v>
          </cell>
        </row>
        <row r="33">
          <cell r="J33">
            <v>10053</v>
          </cell>
        </row>
      </sheetData>
      <sheetData sheetId="4">
        <row r="9">
          <cell r="D9">
            <v>171291998.44000003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3"/>
    </sheetNames>
    <sheetDataSet>
      <sheetData sheetId="0">
        <row r="52">
          <cell r="D52" t="str">
            <v>Izpilde no gada sākuma</v>
          </cell>
        </row>
        <row r="53">
          <cell r="D53">
            <v>4</v>
          </cell>
        </row>
        <row r="66">
          <cell r="D66">
            <v>52577.229999999996</v>
          </cell>
        </row>
        <row r="77">
          <cell r="D77">
            <v>3152.1499999999996</v>
          </cell>
        </row>
        <row r="84">
          <cell r="D84">
            <v>9044</v>
          </cell>
        </row>
        <row r="95">
          <cell r="D95">
            <v>621280</v>
          </cell>
        </row>
      </sheetData>
      <sheetData sheetId="1">
        <row r="8">
          <cell r="K8" t="str">
            <v>Izpilde no gada sākuma</v>
          </cell>
        </row>
        <row r="9">
          <cell r="K9">
            <v>4</v>
          </cell>
        </row>
        <row r="10">
          <cell r="K10">
            <v>103858</v>
          </cell>
        </row>
        <row r="11">
          <cell r="K11">
            <v>99789</v>
          </cell>
        </row>
        <row r="12">
          <cell r="K12">
            <v>4069</v>
          </cell>
        </row>
        <row r="13">
          <cell r="K13">
            <v>134</v>
          </cell>
        </row>
        <row r="14">
          <cell r="D14">
            <v>130006.8</v>
          </cell>
          <cell r="K14">
            <v>130</v>
          </cell>
        </row>
        <row r="15">
          <cell r="D15">
            <v>4271.19</v>
          </cell>
          <cell r="K15">
            <v>4</v>
          </cell>
        </row>
        <row r="16">
          <cell r="K16">
            <v>719</v>
          </cell>
        </row>
        <row r="17">
          <cell r="D17">
            <v>668440.4</v>
          </cell>
          <cell r="K17">
            <v>668</v>
          </cell>
        </row>
        <row r="18">
          <cell r="D18">
            <v>50454.49</v>
          </cell>
          <cell r="K18">
            <v>51</v>
          </cell>
        </row>
        <row r="19">
          <cell r="K19">
            <v>445</v>
          </cell>
        </row>
        <row r="20">
          <cell r="D20">
            <v>436345.65</v>
          </cell>
          <cell r="K20">
            <v>436</v>
          </cell>
        </row>
        <row r="21">
          <cell r="D21">
            <v>8514.53</v>
          </cell>
          <cell r="K21">
            <v>9</v>
          </cell>
        </row>
        <row r="22">
          <cell r="K22">
            <v>5613</v>
          </cell>
        </row>
        <row r="23">
          <cell r="D23">
            <v>5441205.66</v>
          </cell>
          <cell r="K23">
            <v>5441</v>
          </cell>
        </row>
        <row r="24">
          <cell r="D24">
            <v>172037.77</v>
          </cell>
          <cell r="K24">
            <v>172</v>
          </cell>
        </row>
        <row r="25">
          <cell r="K25">
            <v>1796</v>
          </cell>
        </row>
        <row r="26">
          <cell r="D26">
            <v>1743625.92</v>
          </cell>
          <cell r="K26">
            <v>1744</v>
          </cell>
        </row>
        <row r="27">
          <cell r="D27">
            <v>52459.79</v>
          </cell>
          <cell r="K27">
            <v>52</v>
          </cell>
        </row>
        <row r="28">
          <cell r="K28">
            <v>940</v>
          </cell>
        </row>
        <row r="29">
          <cell r="D29">
            <v>934148.45</v>
          </cell>
          <cell r="K29">
            <v>934</v>
          </cell>
        </row>
        <row r="30">
          <cell r="D30">
            <v>6157.06</v>
          </cell>
          <cell r="K30">
            <v>6</v>
          </cell>
        </row>
        <row r="31">
          <cell r="K31">
            <v>12028</v>
          </cell>
        </row>
        <row r="32">
          <cell r="D32">
            <v>10251346.86</v>
          </cell>
          <cell r="K32">
            <v>10251</v>
          </cell>
        </row>
        <row r="33">
          <cell r="D33">
            <v>1777572.47</v>
          </cell>
          <cell r="K33">
            <v>1777</v>
          </cell>
        </row>
        <row r="34">
          <cell r="K34">
            <v>11751</v>
          </cell>
        </row>
        <row r="35">
          <cell r="D35">
            <v>11554762.16</v>
          </cell>
          <cell r="K35">
            <v>11555</v>
          </cell>
        </row>
        <row r="36">
          <cell r="D36">
            <v>195705.12</v>
          </cell>
          <cell r="K36">
            <v>196</v>
          </cell>
        </row>
        <row r="37">
          <cell r="K37">
            <v>9518</v>
          </cell>
        </row>
        <row r="38">
          <cell r="D38">
            <v>9346607.81</v>
          </cell>
          <cell r="K38">
            <v>9347</v>
          </cell>
        </row>
        <row r="39">
          <cell r="D39">
            <v>171302.11</v>
          </cell>
          <cell r="K39">
            <v>171</v>
          </cell>
        </row>
        <row r="40">
          <cell r="K40">
            <v>7310</v>
          </cell>
        </row>
        <row r="41">
          <cell r="D41">
            <v>6986996</v>
          </cell>
          <cell r="K41">
            <v>6987</v>
          </cell>
        </row>
        <row r="42">
          <cell r="D42">
            <v>323012.66</v>
          </cell>
          <cell r="K42">
            <v>323</v>
          </cell>
        </row>
        <row r="43">
          <cell r="K43">
            <v>1172</v>
          </cell>
        </row>
        <row r="44">
          <cell r="D44">
            <v>1057668.52</v>
          </cell>
          <cell r="K44">
            <v>1058</v>
          </cell>
        </row>
        <row r="45">
          <cell r="D45">
            <v>114185.18</v>
          </cell>
          <cell r="K45">
            <v>114</v>
          </cell>
        </row>
        <row r="46">
          <cell r="K46">
            <v>24373</v>
          </cell>
        </row>
        <row r="47">
          <cell r="D47">
            <v>24168314.1</v>
          </cell>
          <cell r="K47">
            <v>24168</v>
          </cell>
        </row>
        <row r="48">
          <cell r="D48">
            <v>205181.52</v>
          </cell>
          <cell r="K48">
            <v>205</v>
          </cell>
        </row>
        <row r="49">
          <cell r="K49">
            <v>3863</v>
          </cell>
        </row>
        <row r="50">
          <cell r="D50">
            <v>3569053.85</v>
          </cell>
          <cell r="K50">
            <v>3569</v>
          </cell>
        </row>
        <row r="51">
          <cell r="D51">
            <v>293990</v>
          </cell>
          <cell r="K51">
            <v>294</v>
          </cell>
        </row>
        <row r="52">
          <cell r="K52" t="str">
            <v>Izpilde no gada sākuma</v>
          </cell>
        </row>
        <row r="53">
          <cell r="K53">
            <v>4</v>
          </cell>
        </row>
        <row r="54">
          <cell r="K54">
            <v>1095</v>
          </cell>
        </row>
        <row r="55">
          <cell r="D55">
            <v>931530.89</v>
          </cell>
          <cell r="K55">
            <v>932</v>
          </cell>
        </row>
        <row r="56">
          <cell r="D56">
            <v>162947</v>
          </cell>
          <cell r="K56">
            <v>163</v>
          </cell>
        </row>
        <row r="57">
          <cell r="K57">
            <v>2777</v>
          </cell>
        </row>
        <row r="58">
          <cell r="D58">
            <v>2651823</v>
          </cell>
          <cell r="K58">
            <v>2652</v>
          </cell>
        </row>
        <row r="59">
          <cell r="D59">
            <v>125629.63</v>
          </cell>
          <cell r="K59">
            <v>125</v>
          </cell>
        </row>
        <row r="60">
          <cell r="K60">
            <v>1777</v>
          </cell>
        </row>
        <row r="61">
          <cell r="D61">
            <v>1673137.96</v>
          </cell>
          <cell r="K61">
            <v>1673</v>
          </cell>
        </row>
        <row r="62">
          <cell r="D62">
            <v>103566.64</v>
          </cell>
          <cell r="K62">
            <v>104</v>
          </cell>
        </row>
        <row r="63">
          <cell r="K63">
            <v>154</v>
          </cell>
        </row>
        <row r="64">
          <cell r="D64">
            <v>152442.91</v>
          </cell>
          <cell r="K64">
            <v>152</v>
          </cell>
        </row>
        <row r="65">
          <cell r="D65">
            <v>1991.84</v>
          </cell>
          <cell r="K65">
            <v>2</v>
          </cell>
        </row>
        <row r="66">
          <cell r="K66">
            <v>108</v>
          </cell>
        </row>
        <row r="67">
          <cell r="D67">
            <v>107688.06</v>
          </cell>
          <cell r="K67">
            <v>108</v>
          </cell>
        </row>
        <row r="68">
          <cell r="D68">
            <v>40301.130000000005</v>
          </cell>
          <cell r="K68">
            <v>40</v>
          </cell>
        </row>
        <row r="69">
          <cell r="D69">
            <v>39409.41</v>
          </cell>
          <cell r="K69">
            <v>39</v>
          </cell>
        </row>
        <row r="70">
          <cell r="D70">
            <v>891.72</v>
          </cell>
          <cell r="K70">
            <v>1</v>
          </cell>
        </row>
        <row r="71">
          <cell r="K71">
            <v>974</v>
          </cell>
        </row>
        <row r="72">
          <cell r="D72">
            <v>967695.92</v>
          </cell>
          <cell r="K72">
            <v>968</v>
          </cell>
        </row>
        <row r="73">
          <cell r="D73">
            <v>6349.61</v>
          </cell>
          <cell r="K73">
            <v>6</v>
          </cell>
        </row>
        <row r="74">
          <cell r="K74">
            <v>11</v>
          </cell>
        </row>
        <row r="75">
          <cell r="D75">
            <v>10539.12</v>
          </cell>
          <cell r="K75">
            <v>11</v>
          </cell>
        </row>
        <row r="76">
          <cell r="D76">
            <v>0</v>
          </cell>
          <cell r="K76">
            <v>0</v>
          </cell>
        </row>
        <row r="77">
          <cell r="K77">
            <v>6</v>
          </cell>
        </row>
        <row r="78">
          <cell r="D78">
            <v>6123.45</v>
          </cell>
          <cell r="K78">
            <v>6</v>
          </cell>
        </row>
        <row r="79">
          <cell r="D79">
            <v>114068</v>
          </cell>
          <cell r="K79">
            <v>114</v>
          </cell>
        </row>
        <row r="80">
          <cell r="D80">
            <v>114068</v>
          </cell>
          <cell r="K80">
            <v>114</v>
          </cell>
        </row>
        <row r="81">
          <cell r="D81">
            <v>1078272.3</v>
          </cell>
          <cell r="K81">
            <v>1078</v>
          </cell>
        </row>
        <row r="82">
          <cell r="D82">
            <v>1077682.3</v>
          </cell>
          <cell r="K82">
            <v>1078</v>
          </cell>
        </row>
        <row r="83">
          <cell r="D83">
            <v>590</v>
          </cell>
          <cell r="K83">
            <v>0</v>
          </cell>
        </row>
        <row r="84">
          <cell r="K84">
            <v>18</v>
          </cell>
        </row>
        <row r="85">
          <cell r="D85">
            <v>18088</v>
          </cell>
          <cell r="K85">
            <v>18</v>
          </cell>
        </row>
        <row r="86">
          <cell r="D86">
            <v>269625.33</v>
          </cell>
          <cell r="K86">
            <v>270</v>
          </cell>
        </row>
        <row r="87">
          <cell r="D87">
            <v>269625.33</v>
          </cell>
          <cell r="K87">
            <v>270</v>
          </cell>
        </row>
        <row r="88">
          <cell r="D88">
            <v>0</v>
          </cell>
          <cell r="K88">
            <v>0</v>
          </cell>
        </row>
        <row r="89">
          <cell r="K89">
            <v>116</v>
          </cell>
        </row>
        <row r="90">
          <cell r="D90">
            <v>114505.07</v>
          </cell>
          <cell r="K90">
            <v>114</v>
          </cell>
        </row>
        <row r="91">
          <cell r="D91">
            <v>1824.17</v>
          </cell>
          <cell r="K91">
            <v>2</v>
          </cell>
        </row>
        <row r="92">
          <cell r="K92">
            <v>14415</v>
          </cell>
        </row>
        <row r="93">
          <cell r="D93">
            <v>14123779</v>
          </cell>
          <cell r="K93">
            <v>14124</v>
          </cell>
        </row>
        <row r="94">
          <cell r="D94">
            <v>291014.91</v>
          </cell>
          <cell r="K94">
            <v>291</v>
          </cell>
        </row>
        <row r="95">
          <cell r="K95">
            <v>1243</v>
          </cell>
        </row>
        <row r="96">
          <cell r="D96">
            <v>1242550</v>
          </cell>
          <cell r="K96">
            <v>1243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rbam"/>
      <sheetName val="Janvāris"/>
      <sheetName val="Februāris"/>
      <sheetName val="Marts"/>
      <sheetName val="Sheet1"/>
      <sheetName val="sadale"/>
      <sheetName val="dot spec"/>
      <sheetName val="Sheet3"/>
    </sheetNames>
    <sheetDataSet>
      <sheetData sheetId="2">
        <row r="9">
          <cell r="K9" t="str">
            <v>Izpilde no gada sākuma</v>
          </cell>
        </row>
        <row r="10">
          <cell r="K10">
            <v>4</v>
          </cell>
        </row>
        <row r="11">
          <cell r="K11">
            <v>112432</v>
          </cell>
        </row>
        <row r="12">
          <cell r="K12">
            <v>111606</v>
          </cell>
        </row>
        <row r="13">
          <cell r="K13">
            <v>101968</v>
          </cell>
        </row>
        <row r="14">
          <cell r="K14">
            <v>0</v>
          </cell>
        </row>
        <row r="15">
          <cell r="K15">
            <v>9000</v>
          </cell>
        </row>
        <row r="16">
          <cell r="K16">
            <v>638</v>
          </cell>
        </row>
        <row r="17">
          <cell r="K17">
            <v>109855</v>
          </cell>
        </row>
        <row r="18">
          <cell r="K18">
            <v>105786</v>
          </cell>
        </row>
        <row r="19">
          <cell r="K19">
            <v>50419</v>
          </cell>
        </row>
        <row r="20">
          <cell r="K20">
            <v>23614</v>
          </cell>
        </row>
        <row r="21">
          <cell r="K21">
            <v>6885</v>
          </cell>
        </row>
        <row r="22">
          <cell r="K22">
            <v>19920</v>
          </cell>
        </row>
        <row r="23">
          <cell r="K23">
            <v>2856</v>
          </cell>
        </row>
        <row r="24">
          <cell r="K24">
            <v>1686</v>
          </cell>
        </row>
        <row r="25">
          <cell r="K25">
            <v>1142</v>
          </cell>
        </row>
        <row r="26">
          <cell r="K26">
            <v>28</v>
          </cell>
        </row>
        <row r="27">
          <cell r="K27">
            <v>52511</v>
          </cell>
        </row>
        <row r="28">
          <cell r="K28">
            <v>2098</v>
          </cell>
        </row>
        <row r="29">
          <cell r="K29">
            <v>14124</v>
          </cell>
        </row>
        <row r="30">
          <cell r="K30">
            <v>1243</v>
          </cell>
        </row>
        <row r="31">
          <cell r="K31">
            <v>15765</v>
          </cell>
        </row>
        <row r="32">
          <cell r="K32">
            <v>9708</v>
          </cell>
        </row>
        <row r="33">
          <cell r="K33">
            <v>6057</v>
          </cell>
        </row>
        <row r="34">
          <cell r="K34">
            <v>18193</v>
          </cell>
        </row>
        <row r="35">
          <cell r="K35">
            <v>266</v>
          </cell>
        </row>
        <row r="36">
          <cell r="K36">
            <v>13398</v>
          </cell>
        </row>
        <row r="37">
          <cell r="K37">
            <v>1780</v>
          </cell>
        </row>
        <row r="38">
          <cell r="K38">
            <v>2749</v>
          </cell>
        </row>
        <row r="39">
          <cell r="K39">
            <v>1088</v>
          </cell>
        </row>
        <row r="40">
          <cell r="K40">
            <v>4069</v>
          </cell>
        </row>
        <row r="41">
          <cell r="K41">
            <v>853</v>
          </cell>
        </row>
        <row r="42">
          <cell r="K42">
            <v>3216</v>
          </cell>
        </row>
        <row r="43">
          <cell r="K43">
            <v>63</v>
          </cell>
        </row>
        <row r="44">
          <cell r="K44">
            <v>291</v>
          </cell>
        </row>
        <row r="45">
          <cell r="K45">
            <v>14355</v>
          </cell>
        </row>
        <row r="46">
          <cell r="K46">
            <v>22495</v>
          </cell>
        </row>
        <row r="47">
          <cell r="K47">
            <v>18024</v>
          </cell>
        </row>
        <row r="48">
          <cell r="K48">
            <v>8139</v>
          </cell>
        </row>
        <row r="49">
          <cell r="K49">
            <v>1133</v>
          </cell>
        </row>
        <row r="50">
          <cell r="K50">
            <v>-11778</v>
          </cell>
        </row>
        <row r="51">
          <cell r="K51">
            <v>11778</v>
          </cell>
        </row>
        <row r="52">
          <cell r="K52">
            <v>0</v>
          </cell>
        </row>
        <row r="53">
          <cell r="K53">
            <v>28</v>
          </cell>
        </row>
        <row r="54">
          <cell r="K54">
            <v>11750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5"/>
      <sheetName val="Sheet4"/>
      <sheetName val="Sheet2"/>
      <sheetName val="Sheet1"/>
      <sheetName val="Sheet3"/>
    </sheetNames>
    <sheetDataSet>
      <sheetData sheetId="1">
        <row r="22">
          <cell r="D22">
            <v>389747</v>
          </cell>
          <cell r="J22">
            <v>390</v>
          </cell>
        </row>
        <row r="24">
          <cell r="D24">
            <v>359876</v>
          </cell>
          <cell r="J24">
            <v>360</v>
          </cell>
        </row>
        <row r="25">
          <cell r="D25">
            <v>3474</v>
          </cell>
          <cell r="J25">
            <v>3</v>
          </cell>
        </row>
        <row r="29">
          <cell r="D29">
            <v>444740</v>
          </cell>
          <cell r="J29">
            <v>445</v>
          </cell>
        </row>
        <row r="30">
          <cell r="D30">
            <v>197385</v>
          </cell>
          <cell r="J30">
            <v>197</v>
          </cell>
        </row>
        <row r="32">
          <cell r="D32">
            <v>109069</v>
          </cell>
          <cell r="J32">
            <v>109</v>
          </cell>
        </row>
        <row r="35">
          <cell r="D35">
            <v>245959</v>
          </cell>
          <cell r="J35">
            <v>246</v>
          </cell>
        </row>
        <row r="37">
          <cell r="D37">
            <v>5451</v>
          </cell>
          <cell r="J37">
            <v>5</v>
          </cell>
        </row>
        <row r="41">
          <cell r="D41">
            <v>546500</v>
          </cell>
          <cell r="J41">
            <v>547</v>
          </cell>
        </row>
        <row r="43">
          <cell r="D43">
            <v>456381</v>
          </cell>
          <cell r="J43">
            <v>456</v>
          </cell>
        </row>
        <row r="44">
          <cell r="D44">
            <v>84500</v>
          </cell>
          <cell r="J44">
            <v>85</v>
          </cell>
        </row>
        <row r="47">
          <cell r="D47">
            <v>178273</v>
          </cell>
          <cell r="J47">
            <v>178</v>
          </cell>
        </row>
        <row r="49">
          <cell r="D49">
            <v>92253</v>
          </cell>
          <cell r="J49">
            <v>92</v>
          </cell>
        </row>
        <row r="50">
          <cell r="D50">
            <v>0</v>
          </cell>
          <cell r="J50">
            <v>0</v>
          </cell>
        </row>
        <row r="51">
          <cell r="D51">
            <v>671951</v>
          </cell>
          <cell r="J51">
            <v>672</v>
          </cell>
        </row>
        <row r="52">
          <cell r="D52">
            <v>8848</v>
          </cell>
          <cell r="J52">
            <v>9</v>
          </cell>
        </row>
        <row r="53">
          <cell r="D53">
            <v>-577083</v>
          </cell>
          <cell r="J53">
            <v>-577</v>
          </cell>
        </row>
        <row r="54">
          <cell r="D54">
            <v>671957</v>
          </cell>
          <cell r="J54">
            <v>672</v>
          </cell>
        </row>
        <row r="58">
          <cell r="D58">
            <v>49340</v>
          </cell>
          <cell r="J58">
            <v>49</v>
          </cell>
        </row>
        <row r="59">
          <cell r="D59">
            <v>7527</v>
          </cell>
          <cell r="J59">
            <v>8</v>
          </cell>
        </row>
        <row r="61">
          <cell r="D61">
            <v>25458</v>
          </cell>
          <cell r="J61">
            <v>25</v>
          </cell>
        </row>
        <row r="62">
          <cell r="J62">
            <v>0</v>
          </cell>
        </row>
        <row r="66">
          <cell r="D66">
            <v>1406673</v>
          </cell>
          <cell r="J66">
            <v>1406</v>
          </cell>
        </row>
        <row r="67">
          <cell r="D67">
            <v>6442989</v>
          </cell>
          <cell r="J67">
            <v>6443</v>
          </cell>
        </row>
        <row r="68">
          <cell r="D68">
            <v>3606</v>
          </cell>
          <cell r="J68">
            <v>4</v>
          </cell>
        </row>
        <row r="69">
          <cell r="D69">
            <v>154760</v>
          </cell>
          <cell r="J69">
            <v>155</v>
          </cell>
        </row>
        <row r="71">
          <cell r="D71">
            <v>8126036</v>
          </cell>
          <cell r="J71">
            <v>8126</v>
          </cell>
        </row>
        <row r="72">
          <cell r="D72">
            <v>2430094</v>
          </cell>
          <cell r="J72">
            <v>2430</v>
          </cell>
        </row>
        <row r="73">
          <cell r="D73">
            <v>-2548102</v>
          </cell>
          <cell r="J73">
            <v>-2548</v>
          </cell>
        </row>
        <row r="74">
          <cell r="D74">
            <v>3331634</v>
          </cell>
          <cell r="J74">
            <v>3332</v>
          </cell>
        </row>
        <row r="77">
          <cell r="D77">
            <v>110597</v>
          </cell>
          <cell r="J77">
            <v>111</v>
          </cell>
        </row>
        <row r="78">
          <cell r="D78">
            <v>3023</v>
          </cell>
          <cell r="J78">
            <v>3</v>
          </cell>
        </row>
        <row r="80">
          <cell r="D80">
            <v>52465</v>
          </cell>
          <cell r="J80">
            <v>53</v>
          </cell>
        </row>
        <row r="81">
          <cell r="D81">
            <v>11379</v>
          </cell>
          <cell r="J81">
            <v>11</v>
          </cell>
        </row>
        <row r="83">
          <cell r="D83">
            <v>471319</v>
          </cell>
          <cell r="J83">
            <v>471</v>
          </cell>
        </row>
        <row r="85">
          <cell r="D85">
            <v>1178288</v>
          </cell>
          <cell r="J85">
            <v>1178</v>
          </cell>
        </row>
        <row r="86">
          <cell r="D86">
            <v>700000</v>
          </cell>
          <cell r="J86">
            <v>700</v>
          </cell>
        </row>
        <row r="90">
          <cell r="D90">
            <v>10863142</v>
          </cell>
          <cell r="J90">
            <v>10863</v>
          </cell>
        </row>
        <row r="91">
          <cell r="D91">
            <v>8168581</v>
          </cell>
          <cell r="J91">
            <v>8169</v>
          </cell>
        </row>
        <row r="92">
          <cell r="D92">
            <v>136634</v>
          </cell>
          <cell r="J92">
            <v>137</v>
          </cell>
        </row>
        <row r="94">
          <cell r="D94">
            <v>18767230</v>
          </cell>
          <cell r="J94">
            <v>18767</v>
          </cell>
        </row>
        <row r="95">
          <cell r="D95">
            <v>81595</v>
          </cell>
          <cell r="J95">
            <v>82</v>
          </cell>
        </row>
        <row r="96">
          <cell r="D96">
            <v>319532</v>
          </cell>
          <cell r="J96">
            <v>320</v>
          </cell>
        </row>
        <row r="97">
          <cell r="D97">
            <v>64195</v>
          </cell>
          <cell r="J97">
            <v>64</v>
          </cell>
        </row>
        <row r="100">
          <cell r="D100">
            <v>71130358</v>
          </cell>
          <cell r="J100">
            <v>71130</v>
          </cell>
        </row>
        <row r="101">
          <cell r="D101">
            <v>877495</v>
          </cell>
          <cell r="J101">
            <v>877</v>
          </cell>
        </row>
        <row r="102">
          <cell r="D102">
            <v>437483</v>
          </cell>
          <cell r="J102">
            <v>437</v>
          </cell>
        </row>
        <row r="104">
          <cell r="D104">
            <v>83303625</v>
          </cell>
          <cell r="J104">
            <v>83304</v>
          </cell>
        </row>
        <row r="105">
          <cell r="D105">
            <v>466201</v>
          </cell>
          <cell r="J105">
            <v>466</v>
          </cell>
        </row>
        <row r="106">
          <cell r="D106">
            <v>-11324490</v>
          </cell>
          <cell r="J106">
            <v>-11324</v>
          </cell>
        </row>
        <row r="107">
          <cell r="D107">
            <v>12765267</v>
          </cell>
          <cell r="J107">
            <v>12765</v>
          </cell>
        </row>
        <row r="110">
          <cell r="D110">
            <v>53436395</v>
          </cell>
          <cell r="J110">
            <v>53436</v>
          </cell>
        </row>
        <row r="111">
          <cell r="D111">
            <v>477684</v>
          </cell>
          <cell r="J111">
            <v>478</v>
          </cell>
        </row>
        <row r="112">
          <cell r="D112">
            <v>2891160</v>
          </cell>
          <cell r="J112">
            <v>2891</v>
          </cell>
        </row>
        <row r="114">
          <cell r="D114">
            <v>65761475</v>
          </cell>
          <cell r="J114">
            <v>65761</v>
          </cell>
        </row>
        <row r="115">
          <cell r="D115">
            <v>-8956236</v>
          </cell>
          <cell r="J115">
            <v>-8956</v>
          </cell>
        </row>
        <row r="116">
          <cell r="D116">
            <v>8956236</v>
          </cell>
          <cell r="J116">
            <v>8956</v>
          </cell>
        </row>
        <row r="119">
          <cell r="D119">
            <v>4834027</v>
          </cell>
          <cell r="J119">
            <v>4834</v>
          </cell>
        </row>
        <row r="120">
          <cell r="D120">
            <v>62316</v>
          </cell>
          <cell r="J120">
            <v>62</v>
          </cell>
        </row>
        <row r="121">
          <cell r="D121">
            <v>2324152</v>
          </cell>
          <cell r="J121">
            <v>2324</v>
          </cell>
        </row>
        <row r="123">
          <cell r="D123">
            <v>6088089</v>
          </cell>
          <cell r="J123">
            <v>6088</v>
          </cell>
        </row>
        <row r="124">
          <cell r="D124">
            <v>1132406</v>
          </cell>
          <cell r="J124">
            <v>1132</v>
          </cell>
        </row>
        <row r="127">
          <cell r="D127">
            <v>156395</v>
          </cell>
          <cell r="J127">
            <v>156</v>
          </cell>
        </row>
        <row r="129">
          <cell r="D129">
            <v>8498</v>
          </cell>
          <cell r="J129">
            <v>8</v>
          </cell>
        </row>
        <row r="131">
          <cell r="D131">
            <v>124990</v>
          </cell>
          <cell r="J131">
            <v>125</v>
          </cell>
        </row>
        <row r="133">
          <cell r="D133">
            <v>39903</v>
          </cell>
          <cell r="J133">
            <v>39</v>
          </cell>
        </row>
        <row r="134">
          <cell r="J134">
            <v>0</v>
          </cell>
        </row>
        <row r="137">
          <cell r="D137">
            <v>12703541</v>
          </cell>
          <cell r="J137">
            <v>12704</v>
          </cell>
        </row>
        <row r="139">
          <cell r="D139">
            <v>114578</v>
          </cell>
          <cell r="J139">
            <v>115</v>
          </cell>
        </row>
        <row r="141">
          <cell r="D141">
            <v>16196574</v>
          </cell>
          <cell r="J141">
            <v>16197</v>
          </cell>
        </row>
        <row r="142">
          <cell r="D142">
            <v>-3378455</v>
          </cell>
          <cell r="J142">
            <v>-3378</v>
          </cell>
        </row>
        <row r="143">
          <cell r="D143">
            <v>3378454</v>
          </cell>
          <cell r="J143">
            <v>3378</v>
          </cell>
        </row>
        <row r="146">
          <cell r="D146">
            <v>337495</v>
          </cell>
          <cell r="J146">
            <v>337</v>
          </cell>
        </row>
        <row r="147">
          <cell r="D147">
            <v>1427206</v>
          </cell>
          <cell r="J147">
            <v>1427</v>
          </cell>
        </row>
        <row r="149">
          <cell r="D149">
            <v>1459326</v>
          </cell>
          <cell r="J149">
            <v>1459</v>
          </cell>
        </row>
        <row r="150">
          <cell r="D150">
            <v>466201</v>
          </cell>
          <cell r="J150">
            <v>466</v>
          </cell>
        </row>
        <row r="151">
          <cell r="D151">
            <v>-160826</v>
          </cell>
          <cell r="J151">
            <v>-161</v>
          </cell>
        </row>
        <row r="152">
          <cell r="D152">
            <v>430577</v>
          </cell>
          <cell r="J152">
            <v>431</v>
          </cell>
        </row>
        <row r="156">
          <cell r="D156">
            <v>1265115</v>
          </cell>
          <cell r="J156">
            <v>1265</v>
          </cell>
        </row>
        <row r="157">
          <cell r="D157">
            <v>93163</v>
          </cell>
          <cell r="J157">
            <v>93</v>
          </cell>
        </row>
        <row r="158">
          <cell r="D158">
            <v>47960</v>
          </cell>
          <cell r="J158">
            <v>48</v>
          </cell>
        </row>
        <row r="160">
          <cell r="D160">
            <v>621282</v>
          </cell>
          <cell r="J160">
            <v>621</v>
          </cell>
        </row>
        <row r="161">
          <cell r="D161">
            <v>202816</v>
          </cell>
          <cell r="J161">
            <v>203</v>
          </cell>
        </row>
        <row r="163">
          <cell r="D163">
            <v>443708.9</v>
          </cell>
          <cell r="J163">
            <v>444</v>
          </cell>
        </row>
        <row r="165">
          <cell r="D165">
            <v>45613</v>
          </cell>
          <cell r="J165">
            <v>46</v>
          </cell>
        </row>
        <row r="166">
          <cell r="D166">
            <v>164444</v>
          </cell>
          <cell r="J166">
            <v>164</v>
          </cell>
        </row>
        <row r="170">
          <cell r="D170">
            <v>198521</v>
          </cell>
          <cell r="J170">
            <v>198</v>
          </cell>
        </row>
        <row r="171">
          <cell r="D171">
            <v>64757</v>
          </cell>
          <cell r="J171">
            <v>65</v>
          </cell>
        </row>
        <row r="172">
          <cell r="D172">
            <v>0</v>
          </cell>
          <cell r="J172">
            <v>0</v>
          </cell>
        </row>
        <row r="174">
          <cell r="D174">
            <v>334000</v>
          </cell>
          <cell r="J174">
            <v>334</v>
          </cell>
        </row>
        <row r="177">
          <cell r="D177">
            <v>8000</v>
          </cell>
          <cell r="J177">
            <v>8</v>
          </cell>
        </row>
        <row r="179">
          <cell r="D179">
            <v>12967</v>
          </cell>
          <cell r="J179">
            <v>13</v>
          </cell>
        </row>
        <row r="180">
          <cell r="D180">
            <v>8219</v>
          </cell>
          <cell r="J180">
            <v>8</v>
          </cell>
        </row>
        <row r="181">
          <cell r="D181">
            <v>-13186</v>
          </cell>
          <cell r="J181">
            <v>-13</v>
          </cell>
        </row>
        <row r="182">
          <cell r="D182">
            <v>14016</v>
          </cell>
          <cell r="J182">
            <v>14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5"/>
      <sheetName val="Sheet4"/>
      <sheetName val="Sheet2"/>
      <sheetName val="Sheet1"/>
      <sheetName val="Sheet3"/>
    </sheetNames>
    <sheetDataSet>
      <sheetData sheetId="1">
        <row r="11">
          <cell r="D11">
            <v>104036214</v>
          </cell>
          <cell r="K11">
            <v>104036</v>
          </cell>
        </row>
        <row r="12">
          <cell r="D12">
            <v>196200</v>
          </cell>
          <cell r="K12">
            <v>196</v>
          </cell>
        </row>
        <row r="13">
          <cell r="D13">
            <v>154760</v>
          </cell>
          <cell r="K13">
            <v>155</v>
          </cell>
        </row>
        <row r="17">
          <cell r="D17">
            <v>171992</v>
          </cell>
          <cell r="K17">
            <v>172</v>
          </cell>
        </row>
        <row r="18">
          <cell r="D18">
            <v>56715</v>
          </cell>
          <cell r="K18">
            <v>57</v>
          </cell>
        </row>
        <row r="19">
          <cell r="D19">
            <v>4137190</v>
          </cell>
          <cell r="K19">
            <v>4137</v>
          </cell>
        </row>
        <row r="20">
          <cell r="D20">
            <v>806093</v>
          </cell>
          <cell r="K20">
            <v>806</v>
          </cell>
        </row>
        <row r="22">
          <cell r="D22">
            <v>441788</v>
          </cell>
          <cell r="K22">
            <v>442</v>
          </cell>
        </row>
        <row r="23">
          <cell r="D23">
            <v>12390</v>
          </cell>
          <cell r="K23">
            <v>12</v>
          </cell>
        </row>
        <row r="25">
          <cell r="D25">
            <v>403356</v>
          </cell>
          <cell r="K25">
            <v>403</v>
          </cell>
        </row>
        <row r="26">
          <cell r="D26">
            <v>2639542</v>
          </cell>
          <cell r="K26">
            <v>2640</v>
          </cell>
        </row>
        <row r="27">
          <cell r="D27">
            <v>0</v>
          </cell>
          <cell r="K27">
            <v>0</v>
          </cell>
        </row>
        <row r="28">
          <cell r="D28">
            <v>22331206</v>
          </cell>
          <cell r="K28">
            <v>22331</v>
          </cell>
        </row>
        <row r="30">
          <cell r="D30">
            <v>73457587</v>
          </cell>
          <cell r="K30">
            <v>73458</v>
          </cell>
        </row>
        <row r="31">
          <cell r="D31">
            <v>7515136</v>
          </cell>
          <cell r="K31">
            <v>7515</v>
          </cell>
        </row>
        <row r="32">
          <cell r="D32">
            <v>68061</v>
          </cell>
          <cell r="K32">
            <v>68</v>
          </cell>
        </row>
        <row r="33">
          <cell r="D33">
            <v>66440</v>
          </cell>
          <cell r="K33">
            <v>66</v>
          </cell>
        </row>
        <row r="34">
          <cell r="D34">
            <v>4012</v>
          </cell>
          <cell r="K34">
            <v>4</v>
          </cell>
        </row>
        <row r="35">
          <cell r="D35">
            <v>200200</v>
          </cell>
          <cell r="K35">
            <v>200</v>
          </cell>
        </row>
        <row r="37">
          <cell r="D37">
            <v>2326934</v>
          </cell>
          <cell r="K37">
            <v>2327</v>
          </cell>
        </row>
        <row r="38">
          <cell r="D38">
            <v>2304076</v>
          </cell>
          <cell r="K38">
            <v>2304</v>
          </cell>
        </row>
        <row r="40">
          <cell r="D40">
            <v>671951</v>
          </cell>
          <cell r="K40">
            <v>672</v>
          </cell>
        </row>
        <row r="41">
          <cell r="D41">
            <v>8848</v>
          </cell>
          <cell r="K41">
            <v>9</v>
          </cell>
        </row>
        <row r="44">
          <cell r="D44">
            <v>17547000</v>
          </cell>
          <cell r="K44">
            <v>17547</v>
          </cell>
        </row>
        <row r="45">
          <cell r="D45">
            <v>-4328353</v>
          </cell>
          <cell r="K45">
            <v>-4329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5"/>
      <sheetName val="Sheet4"/>
      <sheetName val="Sheet2"/>
      <sheetName val="Sheet1"/>
      <sheetName val="Sheet3"/>
    </sheetNames>
    <sheetDataSet>
      <sheetData sheetId="1">
        <row r="10">
          <cell r="C10">
            <v>477670</v>
          </cell>
          <cell r="H10">
            <v>478</v>
          </cell>
        </row>
        <row r="11">
          <cell r="C11">
            <v>223327</v>
          </cell>
          <cell r="H11">
            <v>223</v>
          </cell>
        </row>
        <row r="15">
          <cell r="C15">
            <v>57903</v>
          </cell>
          <cell r="H15">
            <v>58</v>
          </cell>
        </row>
        <row r="16">
          <cell r="C16">
            <v>9378</v>
          </cell>
          <cell r="H16">
            <v>9</v>
          </cell>
        </row>
        <row r="18">
          <cell r="C18">
            <v>435332</v>
          </cell>
          <cell r="H18">
            <v>436</v>
          </cell>
        </row>
        <row r="19">
          <cell r="C19">
            <v>47095.67</v>
          </cell>
          <cell r="H19">
            <v>47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5">
          <cell r="C25">
            <v>4602</v>
          </cell>
          <cell r="H25">
            <v>5</v>
          </cell>
        </row>
        <row r="26">
          <cell r="H26">
            <v>0</v>
          </cell>
        </row>
        <row r="27">
          <cell r="H27">
            <v>0</v>
          </cell>
        </row>
        <row r="28">
          <cell r="C28">
            <v>6310</v>
          </cell>
          <cell r="H28">
            <v>6</v>
          </cell>
        </row>
        <row r="29">
          <cell r="C29">
            <v>64251</v>
          </cell>
          <cell r="H29">
            <v>64</v>
          </cell>
        </row>
        <row r="31">
          <cell r="C31">
            <v>68686</v>
          </cell>
          <cell r="H31">
            <v>69</v>
          </cell>
        </row>
        <row r="32">
          <cell r="C32">
            <v>21413</v>
          </cell>
          <cell r="H3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4" sqref="A14"/>
    </sheetView>
  </sheetViews>
  <sheetFormatPr defaultColWidth="9.140625" defaultRowHeight="12.75"/>
  <cols>
    <col min="1" max="1" width="32.57421875" style="2" customWidth="1"/>
    <col min="2" max="2" width="11.8515625" style="2" customWidth="1"/>
    <col min="3" max="4" width="12.57421875" style="2" customWidth="1"/>
    <col min="5" max="5" width="11.28125" style="2" customWidth="1"/>
  </cols>
  <sheetData>
    <row r="1" spans="1:5" ht="12.75">
      <c r="A1" s="690" t="s">
        <v>57</v>
      </c>
      <c r="B1" s="690"/>
      <c r="C1" s="690"/>
      <c r="D1" s="690"/>
      <c r="E1" s="690"/>
    </row>
    <row r="2" spans="1:5" ht="18.75" customHeight="1">
      <c r="A2" s="690"/>
      <c r="B2" s="690"/>
      <c r="C2" s="690"/>
      <c r="D2" s="690"/>
      <c r="E2" s="690"/>
    </row>
    <row r="3" spans="1:5" ht="12.75">
      <c r="A3" s="1"/>
      <c r="E3" s="3" t="s">
        <v>58</v>
      </c>
    </row>
    <row r="4" spans="1:5" ht="33.75">
      <c r="A4" s="4" t="s">
        <v>59</v>
      </c>
      <c r="B4" s="5" t="s">
        <v>60</v>
      </c>
      <c r="C4" s="5" t="s">
        <v>61</v>
      </c>
      <c r="D4" s="5" t="s">
        <v>62</v>
      </c>
      <c r="E4" s="5" t="s">
        <v>63</v>
      </c>
    </row>
    <row r="5" spans="1:5" ht="12.75">
      <c r="A5" s="6" t="s">
        <v>64</v>
      </c>
      <c r="B5" s="7">
        <v>316985</v>
      </c>
      <c r="C5" s="8">
        <v>104901</v>
      </c>
      <c r="D5" s="7">
        <f>B5+C5</f>
        <v>421886</v>
      </c>
      <c r="E5" s="7">
        <f>D5-'[1]Februaris'!D5</f>
        <v>152217</v>
      </c>
    </row>
    <row r="6" spans="1:5" ht="22.5">
      <c r="A6" s="9" t="s">
        <v>65</v>
      </c>
      <c r="B6" s="10" t="s">
        <v>66</v>
      </c>
      <c r="C6" s="10" t="s">
        <v>66</v>
      </c>
      <c r="D6" s="11">
        <f>22374+1864</f>
        <v>24238</v>
      </c>
      <c r="E6" s="11">
        <f>D6-'[1]Februaris'!D6</f>
        <v>8580</v>
      </c>
    </row>
    <row r="7" spans="1:5" ht="22.5">
      <c r="A7" s="9" t="s">
        <v>67</v>
      </c>
      <c r="B7" s="10" t="s">
        <v>66</v>
      </c>
      <c r="C7" s="10" t="s">
        <v>66</v>
      </c>
      <c r="D7" s="11">
        <v>4067</v>
      </c>
      <c r="E7" s="11">
        <f>D7-'[1]Februaris'!D7</f>
        <v>1427</v>
      </c>
    </row>
    <row r="8" spans="1:5" ht="12.75">
      <c r="A8" s="12" t="s">
        <v>68</v>
      </c>
      <c r="B8" s="13" t="s">
        <v>66</v>
      </c>
      <c r="C8" s="13" t="s">
        <v>66</v>
      </c>
      <c r="D8" s="7">
        <f>D5-D6-D7</f>
        <v>393581</v>
      </c>
      <c r="E8" s="7">
        <f>D8-'[1]Februaris'!D8</f>
        <v>142210</v>
      </c>
    </row>
    <row r="9" spans="1:5" ht="12.75">
      <c r="A9" s="6" t="s">
        <v>69</v>
      </c>
      <c r="B9" s="7">
        <v>327050</v>
      </c>
      <c r="C9" s="8">
        <v>96250</v>
      </c>
      <c r="D9" s="7">
        <f>B9+C9</f>
        <v>423300</v>
      </c>
      <c r="E9" s="7">
        <f>D9-'[1]Februaris'!D9</f>
        <v>149518</v>
      </c>
    </row>
    <row r="10" spans="1:5" ht="22.5">
      <c r="A10" s="9" t="s">
        <v>70</v>
      </c>
      <c r="B10" s="10" t="s">
        <v>66</v>
      </c>
      <c r="C10" s="10" t="s">
        <v>66</v>
      </c>
      <c r="D10" s="11">
        <f>22374+1864</f>
        <v>24238</v>
      </c>
      <c r="E10" s="11">
        <f>D10-'[1]Februaris'!D10</f>
        <v>8580</v>
      </c>
    </row>
    <row r="11" spans="1:5" ht="22.5">
      <c r="A11" s="9" t="s">
        <v>71</v>
      </c>
      <c r="B11" s="10" t="s">
        <v>66</v>
      </c>
      <c r="C11" s="10" t="s">
        <v>66</v>
      </c>
      <c r="D11" s="11">
        <v>4067</v>
      </c>
      <c r="E11" s="11">
        <f>D11-'[1]Februaris'!D11</f>
        <v>1427</v>
      </c>
    </row>
    <row r="12" spans="1:5" ht="12.75">
      <c r="A12" s="12" t="s">
        <v>72</v>
      </c>
      <c r="B12" s="13" t="s">
        <v>66</v>
      </c>
      <c r="C12" s="13" t="s">
        <v>66</v>
      </c>
      <c r="D12" s="7">
        <f>D9-D10-D11</f>
        <v>394995</v>
      </c>
      <c r="E12" s="7">
        <f>D12-'[1]Februaris'!D12</f>
        <v>139511</v>
      </c>
    </row>
    <row r="13" spans="1:5" ht="25.5">
      <c r="A13" s="12" t="s">
        <v>73</v>
      </c>
      <c r="B13" s="7">
        <f>B5-B9</f>
        <v>-10065</v>
      </c>
      <c r="C13" s="8">
        <f>C5-C9</f>
        <v>8651</v>
      </c>
      <c r="D13" s="7">
        <f>D8-D12</f>
        <v>-1414</v>
      </c>
      <c r="E13" s="7">
        <f>D13-'[1]Februaris'!D13</f>
        <v>2699</v>
      </c>
    </row>
    <row r="14" spans="1:5" ht="12.75">
      <c r="A14" s="14" t="s">
        <v>74</v>
      </c>
      <c r="B14" s="8">
        <f>B15-B18</f>
        <v>-3336</v>
      </c>
      <c r="C14" s="8">
        <f>C15-C18</f>
        <v>467</v>
      </c>
      <c r="D14" s="8">
        <f>D17-D20</f>
        <v>743</v>
      </c>
      <c r="E14" s="8">
        <f>D14-'[1]Februaris'!D14</f>
        <v>-596</v>
      </c>
    </row>
    <row r="15" spans="1:5" ht="12.75">
      <c r="A15" s="15" t="s">
        <v>75</v>
      </c>
      <c r="B15" s="16">
        <v>5974</v>
      </c>
      <c r="C15" s="17">
        <v>1063</v>
      </c>
      <c r="D15" s="16">
        <f>B15+C15</f>
        <v>7037</v>
      </c>
      <c r="E15" s="16">
        <f>D15-'[1]Februaris'!D15</f>
        <v>1467</v>
      </c>
    </row>
    <row r="16" spans="1:5" ht="22.5">
      <c r="A16" s="9" t="s">
        <v>76</v>
      </c>
      <c r="B16" s="10" t="s">
        <v>66</v>
      </c>
      <c r="C16" s="10" t="s">
        <v>66</v>
      </c>
      <c r="D16" s="11">
        <v>3869</v>
      </c>
      <c r="E16" s="11">
        <f>D16-'[1]Februaris'!D16</f>
        <v>496</v>
      </c>
    </row>
    <row r="17" spans="1:5" ht="12.75">
      <c r="A17" s="14" t="s">
        <v>77</v>
      </c>
      <c r="B17" s="13" t="s">
        <v>66</v>
      </c>
      <c r="C17" s="13" t="s">
        <v>66</v>
      </c>
      <c r="D17" s="7">
        <f>D15-D16</f>
        <v>3168</v>
      </c>
      <c r="E17" s="7">
        <f>D17-'[1]Februaris'!D17</f>
        <v>971</v>
      </c>
    </row>
    <row r="18" spans="1:5" ht="12.75">
      <c r="A18" s="15" t="s">
        <v>78</v>
      </c>
      <c r="B18" s="16">
        <v>9310</v>
      </c>
      <c r="C18" s="17">
        <v>596</v>
      </c>
      <c r="D18" s="16">
        <f>B18+C18</f>
        <v>9906</v>
      </c>
      <c r="E18" s="16">
        <f>D18-'[1]Februaris'!D18</f>
        <v>2512</v>
      </c>
    </row>
    <row r="19" spans="1:5" ht="22.5">
      <c r="A19" s="9" t="s">
        <v>79</v>
      </c>
      <c r="B19" s="18" t="s">
        <v>66</v>
      </c>
      <c r="C19" s="18" t="s">
        <v>66</v>
      </c>
      <c r="D19" s="11">
        <v>7481</v>
      </c>
      <c r="E19" s="11">
        <f>D19-'[1]Februaris'!D19</f>
        <v>945</v>
      </c>
    </row>
    <row r="20" spans="1:5" ht="12.75">
      <c r="A20" s="14" t="s">
        <v>80</v>
      </c>
      <c r="B20" s="13" t="s">
        <v>66</v>
      </c>
      <c r="C20" s="13" t="s">
        <v>66</v>
      </c>
      <c r="D20" s="7">
        <f>D18-D19</f>
        <v>2425</v>
      </c>
      <c r="E20" s="7">
        <f>D20-'[1]Februaris'!D20</f>
        <v>1567</v>
      </c>
    </row>
    <row r="21" spans="1:5" ht="25.5">
      <c r="A21" s="12" t="s">
        <v>81</v>
      </c>
      <c r="B21" s="8">
        <f>B13-B14</f>
        <v>-6729</v>
      </c>
      <c r="C21" s="8">
        <f>C13-C14</f>
        <v>8184</v>
      </c>
      <c r="D21" s="7">
        <f>D13-D14</f>
        <v>-2157</v>
      </c>
      <c r="E21" s="7">
        <f>D21-'[1]Februaris'!D21</f>
        <v>3295</v>
      </c>
    </row>
    <row r="22" spans="1:5" ht="12.75">
      <c r="A22" s="6" t="s">
        <v>82</v>
      </c>
      <c r="B22" s="7">
        <f>B23+B38</f>
        <v>6729</v>
      </c>
      <c r="C22" s="8">
        <f>C23+C38</f>
        <v>-8184</v>
      </c>
      <c r="D22" s="7">
        <f>D23+D38</f>
        <v>2157</v>
      </c>
      <c r="E22" s="7">
        <f>D22-'[1]Februaris'!D22</f>
        <v>-3295</v>
      </c>
    </row>
    <row r="23" spans="1:5" ht="12.75">
      <c r="A23" s="6" t="s">
        <v>83</v>
      </c>
      <c r="B23" s="7">
        <f>B24+B29+B33+B37</f>
        <v>13059</v>
      </c>
      <c r="C23" s="8">
        <f>C24+C29+C33+C37</f>
        <v>-8184</v>
      </c>
      <c r="D23" s="8">
        <f>D24+D29+D33+D37</f>
        <v>8487</v>
      </c>
      <c r="E23" s="8">
        <f>D23-'[1]Februaris'!D23</f>
        <v>-1055</v>
      </c>
    </row>
    <row r="24" spans="1:5" ht="12.75">
      <c r="A24" s="19" t="s">
        <v>84</v>
      </c>
      <c r="B24" s="20">
        <f>B25+B26</f>
        <v>0</v>
      </c>
      <c r="C24" s="20">
        <f>C25+C26</f>
        <v>-2770</v>
      </c>
      <c r="D24" s="20">
        <f>D25+D28</f>
        <v>842</v>
      </c>
      <c r="E24" s="20">
        <f>D24-'[1]Februaris'!D24</f>
        <v>-10065</v>
      </c>
    </row>
    <row r="25" spans="1:5" ht="22.5">
      <c r="A25" s="9" t="s">
        <v>85</v>
      </c>
      <c r="B25" s="11"/>
      <c r="C25" s="21">
        <v>842</v>
      </c>
      <c r="D25" s="11">
        <f>B25+C25</f>
        <v>842</v>
      </c>
      <c r="E25" s="11">
        <f>D25-'[1]Februaris'!D25</f>
        <v>-10065</v>
      </c>
    </row>
    <row r="26" spans="1:5" ht="22.5">
      <c r="A26" s="9" t="s">
        <v>86</v>
      </c>
      <c r="B26" s="11"/>
      <c r="C26" s="21">
        <v>-3612</v>
      </c>
      <c r="D26" s="11">
        <f>B26+C26</f>
        <v>-3612</v>
      </c>
      <c r="E26" s="11">
        <f>D26-'[1]Februaris'!D26</f>
        <v>-449</v>
      </c>
    </row>
    <row r="27" spans="1:5" ht="22.5">
      <c r="A27" s="22" t="s">
        <v>87</v>
      </c>
      <c r="B27" s="18" t="s">
        <v>66</v>
      </c>
      <c r="C27" s="18" t="s">
        <v>66</v>
      </c>
      <c r="D27" s="23">
        <v>3612</v>
      </c>
      <c r="E27" s="23">
        <f>D27-'[1]Februaris'!D27</f>
        <v>449</v>
      </c>
    </row>
    <row r="28" spans="1:5" ht="22.5">
      <c r="A28" s="9" t="s">
        <v>88</v>
      </c>
      <c r="B28" s="18" t="s">
        <v>66</v>
      </c>
      <c r="C28" s="18" t="s">
        <v>66</v>
      </c>
      <c r="D28" s="23"/>
      <c r="E28" s="23"/>
    </row>
    <row r="29" spans="1:5" ht="12.75">
      <c r="A29" s="24" t="s">
        <v>89</v>
      </c>
      <c r="B29" s="23">
        <f>SUM(B30:B32)</f>
        <v>-6085</v>
      </c>
      <c r="C29" s="20">
        <f>SUM(C30:C32)</f>
        <v>0</v>
      </c>
      <c r="D29" s="23">
        <f aca="true" t="shared" si="0" ref="D29:D37">B29+C29</f>
        <v>-6085</v>
      </c>
      <c r="E29" s="23">
        <f>D29-'[1]Februaris'!D29</f>
        <v>-11296</v>
      </c>
    </row>
    <row r="30" spans="1:5" ht="12.75">
      <c r="A30" s="9" t="s">
        <v>90</v>
      </c>
      <c r="B30" s="11">
        <v>-50185</v>
      </c>
      <c r="C30" s="21"/>
      <c r="D30" s="11">
        <f t="shared" si="0"/>
        <v>-50185</v>
      </c>
      <c r="E30" s="11">
        <f>D30-'[1]Februaris'!D30</f>
        <v>-34678</v>
      </c>
    </row>
    <row r="31" spans="1:5" ht="22.5">
      <c r="A31" s="9" t="s">
        <v>91</v>
      </c>
      <c r="B31" s="11">
        <v>-6524</v>
      </c>
      <c r="C31" s="21"/>
      <c r="D31" s="11">
        <f t="shared" si="0"/>
        <v>-6524</v>
      </c>
      <c r="E31" s="11">
        <f>D31-'[1]Februaris'!D31</f>
        <v>4275</v>
      </c>
    </row>
    <row r="32" spans="1:5" ht="12.75">
      <c r="A32" s="9" t="s">
        <v>92</v>
      </c>
      <c r="B32" s="11">
        <v>50624</v>
      </c>
      <c r="C32" s="21"/>
      <c r="D32" s="11">
        <f t="shared" si="0"/>
        <v>50624</v>
      </c>
      <c r="E32" s="11">
        <f>D32-'[1]Februaris'!D32</f>
        <v>19107</v>
      </c>
    </row>
    <row r="33" spans="1:5" ht="12.75">
      <c r="A33" s="25" t="s">
        <v>93</v>
      </c>
      <c r="B33" s="23">
        <f>SUM(B34:B36)</f>
        <v>1299</v>
      </c>
      <c r="C33" s="21">
        <f>SUM(C34:C36)</f>
        <v>-15799</v>
      </c>
      <c r="D33" s="23">
        <f t="shared" si="0"/>
        <v>-14500</v>
      </c>
      <c r="E33" s="23">
        <f>D33-'[1]Februaris'!D33</f>
        <v>2039</v>
      </c>
    </row>
    <row r="34" spans="1:5" ht="12.75">
      <c r="A34" s="10" t="s">
        <v>94</v>
      </c>
      <c r="B34" s="11"/>
      <c r="C34" s="21">
        <v>-7199</v>
      </c>
      <c r="D34" s="11">
        <f t="shared" si="0"/>
        <v>-7199</v>
      </c>
      <c r="E34" s="11">
        <f>D34-'[1]Februaris'!D34</f>
        <v>-2012</v>
      </c>
    </row>
    <row r="35" spans="1:5" ht="12.75">
      <c r="A35" s="10" t="s">
        <v>90</v>
      </c>
      <c r="B35" s="11">
        <v>801</v>
      </c>
      <c r="C35" s="21"/>
      <c r="D35" s="11">
        <f t="shared" si="0"/>
        <v>801</v>
      </c>
      <c r="E35" s="11">
        <f>D35-'[1]Februaris'!D35</f>
        <v>9571</v>
      </c>
    </row>
    <row r="36" spans="1:5" ht="22.5">
      <c r="A36" s="9" t="s">
        <v>91</v>
      </c>
      <c r="B36" s="11">
        <v>498</v>
      </c>
      <c r="C36" s="21">
        <v>-8600</v>
      </c>
      <c r="D36" s="11">
        <f t="shared" si="0"/>
        <v>-8102</v>
      </c>
      <c r="E36" s="11">
        <f>D36-'[1]Februaris'!D36</f>
        <v>-5520</v>
      </c>
    </row>
    <row r="37" spans="1:5" ht="12.75">
      <c r="A37" s="25" t="s">
        <v>95</v>
      </c>
      <c r="B37" s="23">
        <v>17845</v>
      </c>
      <c r="C37" s="20">
        <v>10385</v>
      </c>
      <c r="D37" s="11">
        <f t="shared" si="0"/>
        <v>28230</v>
      </c>
      <c r="E37" s="11">
        <f>D37-'[1]Februaris'!D37</f>
        <v>18267</v>
      </c>
    </row>
    <row r="38" spans="1:5" ht="12.75">
      <c r="A38" s="26" t="s">
        <v>96</v>
      </c>
      <c r="B38" s="7">
        <v>-6330</v>
      </c>
      <c r="C38" s="8"/>
      <c r="D38" s="7">
        <f>B38+C38</f>
        <v>-6330</v>
      </c>
      <c r="E38" s="7">
        <f>D38-'[1]Februaris'!D38</f>
        <v>-2240</v>
      </c>
    </row>
    <row r="39" spans="1:5" ht="12.75">
      <c r="A39" s="27" t="s">
        <v>97</v>
      </c>
      <c r="B39" s="28"/>
      <c r="C39" s="29"/>
      <c r="D39" s="30"/>
      <c r="E39" s="31"/>
    </row>
    <row r="40" spans="1:5" ht="12.75">
      <c r="A40" s="27" t="s">
        <v>98</v>
      </c>
      <c r="B40" s="28"/>
      <c r="C40" s="29"/>
      <c r="D40" s="30"/>
      <c r="E40" s="31"/>
    </row>
    <row r="41" spans="1:5" ht="12.75">
      <c r="A41" s="32"/>
      <c r="B41" s="33"/>
      <c r="C41" s="29"/>
      <c r="D41" s="34"/>
      <c r="E41" s="35"/>
    </row>
    <row r="42" spans="1:5" ht="12.75">
      <c r="A42" s="691"/>
      <c r="B42" s="691"/>
      <c r="C42" s="691"/>
      <c r="D42" s="691"/>
      <c r="E42" s="31"/>
    </row>
    <row r="43" spans="1:5" ht="12.75">
      <c r="A43" s="37" t="s">
        <v>99</v>
      </c>
      <c r="B43" s="36"/>
      <c r="C43" s="36"/>
      <c r="D43" s="36"/>
      <c r="E43" s="38"/>
    </row>
    <row r="44" spans="1:5" ht="12.75">
      <c r="A44" s="36"/>
      <c r="B44" s="36"/>
      <c r="C44" s="36"/>
      <c r="D44" s="36"/>
      <c r="E44" s="31"/>
    </row>
    <row r="45" spans="1:5" ht="12.75">
      <c r="A45" s="39"/>
      <c r="B45" s="39"/>
      <c r="C45" s="40"/>
      <c r="D45" s="41"/>
      <c r="E45" s="42"/>
    </row>
    <row r="46" spans="1:5" ht="12.75">
      <c r="A46" s="39" t="s">
        <v>100</v>
      </c>
      <c r="B46" s="28"/>
      <c r="C46" s="29"/>
      <c r="D46" s="30"/>
      <c r="E46" s="31"/>
    </row>
    <row r="47" spans="1:5" ht="12.75">
      <c r="A47" s="39" t="s">
        <v>101</v>
      </c>
      <c r="B47" s="28"/>
      <c r="C47" s="29"/>
      <c r="D47" s="30"/>
      <c r="E47" s="31"/>
    </row>
  </sheetData>
  <mergeCells count="2">
    <mergeCell ref="A1:E2"/>
    <mergeCell ref="A42:D42"/>
  </mergeCells>
  <printOptions/>
  <pageMargins left="1.09" right="0.17" top="1" bottom="0.2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09"/>
  <sheetViews>
    <sheetView workbookViewId="0" topLeftCell="G1">
      <selection activeCell="G6" sqref="G6"/>
    </sheetView>
  </sheetViews>
  <sheetFormatPr defaultColWidth="9.140625" defaultRowHeight="12.75"/>
  <cols>
    <col min="1" max="1" width="40.421875" style="81" hidden="1" customWidth="1"/>
    <col min="2" max="2" width="8.7109375" style="81" hidden="1" customWidth="1"/>
    <col min="3" max="3" width="11.7109375" style="81" hidden="1" customWidth="1"/>
    <col min="4" max="4" width="13.140625" style="81" hidden="1" customWidth="1"/>
    <col min="5" max="5" width="9.140625" style="81" hidden="1" customWidth="1"/>
    <col min="6" max="6" width="13.140625" style="81" hidden="1" customWidth="1"/>
    <col min="7" max="7" width="42.421875" style="81" customWidth="1"/>
    <col min="8" max="8" width="8.421875" style="81" customWidth="1"/>
    <col min="9" max="9" width="12.421875" style="81" customWidth="1"/>
    <col min="10" max="10" width="9.57421875" style="81" customWidth="1"/>
    <col min="11" max="11" width="8.421875" style="81" customWidth="1"/>
    <col min="12" max="12" width="12.421875" style="81" customWidth="1"/>
    <col min="13" max="16384" width="9.140625" style="81" customWidth="1"/>
  </cols>
  <sheetData>
    <row r="2" spans="1:12" ht="12.75">
      <c r="A2" s="81" t="s">
        <v>523</v>
      </c>
      <c r="F2" s="186" t="s">
        <v>524</v>
      </c>
      <c r="G2" s="81" t="s">
        <v>525</v>
      </c>
      <c r="L2" s="423" t="s">
        <v>524</v>
      </c>
    </row>
    <row r="4" spans="1:12" ht="15.75">
      <c r="A4" s="80" t="s">
        <v>526</v>
      </c>
      <c r="G4" s="696" t="s">
        <v>527</v>
      </c>
      <c r="H4" s="696"/>
      <c r="I4" s="696"/>
      <c r="J4" s="696"/>
      <c r="K4" s="696"/>
      <c r="L4" s="696"/>
    </row>
    <row r="5" spans="1:12" ht="15.75">
      <c r="A5" s="80" t="s">
        <v>528</v>
      </c>
      <c r="G5" s="696" t="s">
        <v>107</v>
      </c>
      <c r="H5" s="696"/>
      <c r="I5" s="696"/>
      <c r="J5" s="696"/>
      <c r="K5" s="696"/>
      <c r="L5" s="696"/>
    </row>
    <row r="7" spans="6:12" ht="12.75">
      <c r="F7" s="87"/>
      <c r="L7" s="87"/>
    </row>
    <row r="8" spans="6:12" ht="12.75">
      <c r="F8" s="186" t="s">
        <v>374</v>
      </c>
      <c r="L8" s="423" t="s">
        <v>149</v>
      </c>
    </row>
    <row r="9" spans="1:12" ht="60" customHeight="1">
      <c r="A9" s="142" t="s">
        <v>59</v>
      </c>
      <c r="B9" s="140" t="s">
        <v>500</v>
      </c>
      <c r="C9" s="140" t="s">
        <v>110</v>
      </c>
      <c r="D9" s="140" t="s">
        <v>112</v>
      </c>
      <c r="E9" s="140" t="s">
        <v>501</v>
      </c>
      <c r="F9" s="140" t="s">
        <v>529</v>
      </c>
      <c r="G9" s="142" t="s">
        <v>59</v>
      </c>
      <c r="H9" s="140" t="s">
        <v>500</v>
      </c>
      <c r="I9" s="140" t="s">
        <v>110</v>
      </c>
      <c r="J9" s="140" t="s">
        <v>112</v>
      </c>
      <c r="K9" s="140" t="s">
        <v>501</v>
      </c>
      <c r="L9" s="140" t="s">
        <v>529</v>
      </c>
    </row>
    <row r="10" spans="1:12" ht="12" customHeight="1">
      <c r="A10" s="142">
        <v>1</v>
      </c>
      <c r="B10" s="142">
        <v>2</v>
      </c>
      <c r="C10" s="140">
        <v>3</v>
      </c>
      <c r="D10" s="140">
        <v>4</v>
      </c>
      <c r="E10" s="140">
        <v>5</v>
      </c>
      <c r="F10" s="143">
        <v>6</v>
      </c>
      <c r="G10" s="142">
        <v>1</v>
      </c>
      <c r="H10" s="142">
        <v>2</v>
      </c>
      <c r="I10" s="140">
        <v>3</v>
      </c>
      <c r="J10" s="140">
        <v>4</v>
      </c>
      <c r="K10" s="140">
        <v>5</v>
      </c>
      <c r="L10" s="143">
        <v>6</v>
      </c>
    </row>
    <row r="11" spans="1:12" ht="18" customHeight="1">
      <c r="A11" s="151" t="s">
        <v>380</v>
      </c>
      <c r="B11" s="201"/>
      <c r="C11" s="52">
        <f>SUM(C12:C25)</f>
        <v>750186398</v>
      </c>
      <c r="D11" s="52">
        <f>SUM(D12:D25)</f>
        <v>178785348</v>
      </c>
      <c r="E11" s="424">
        <f>IF(ISERROR(D11/C11)," ",(D11/C11))</f>
        <v>0.23832123386486675</v>
      </c>
      <c r="F11" s="52">
        <f>SUM(F12:F24)</f>
        <v>1328210</v>
      </c>
      <c r="G11" s="151" t="s">
        <v>380</v>
      </c>
      <c r="H11" s="201"/>
      <c r="I11" s="257">
        <f>SUM(I12:I25)</f>
        <v>750186</v>
      </c>
      <c r="J11" s="257">
        <f>SUM(J12:J25)</f>
        <v>178785</v>
      </c>
      <c r="K11" s="301">
        <f>IF(ISERROR(J11/I11)," ",(J11/I11))</f>
        <v>0.23832089641768842</v>
      </c>
      <c r="L11" s="257">
        <f>SUM(L12:L25)</f>
        <v>1328</v>
      </c>
    </row>
    <row r="12" spans="1:12" ht="18" customHeight="1">
      <c r="A12" s="239" t="s">
        <v>502</v>
      </c>
      <c r="B12" s="418">
        <v>1</v>
      </c>
      <c r="C12" s="212">
        <v>200829</v>
      </c>
      <c r="D12" s="212">
        <v>47885</v>
      </c>
      <c r="E12" s="425">
        <f aca="true" t="shared" si="0" ref="E12:E25">IF(ISERROR(D12/C12)," ",(D12/C12))</f>
        <v>0.23843667996155934</v>
      </c>
      <c r="F12" s="426">
        <v>139337</v>
      </c>
      <c r="G12" s="239" t="s">
        <v>502</v>
      </c>
      <c r="H12" s="418">
        <v>1</v>
      </c>
      <c r="I12" s="272">
        <f>ROUND(C12/1000,0)</f>
        <v>201</v>
      </c>
      <c r="J12" s="272">
        <f>ROUND(D12/1000,0)</f>
        <v>48</v>
      </c>
      <c r="K12" s="306">
        <f aca="true" t="shared" si="1" ref="K12:K25">IF(ISERROR(J12/I12)," ",(J12/I12))</f>
        <v>0.23880597014925373</v>
      </c>
      <c r="L12" s="272">
        <f>ROUND(F12/1000,0)</f>
        <v>139</v>
      </c>
    </row>
    <row r="13" spans="1:12" ht="18.75" customHeight="1">
      <c r="A13" s="67" t="s">
        <v>503</v>
      </c>
      <c r="B13" s="418">
        <v>2</v>
      </c>
      <c r="C13" s="212"/>
      <c r="D13" s="212"/>
      <c r="E13" s="425" t="str">
        <f t="shared" si="0"/>
        <v> </v>
      </c>
      <c r="F13" s="67">
        <v>35017</v>
      </c>
      <c r="G13" s="67" t="s">
        <v>503</v>
      </c>
      <c r="H13" s="418">
        <v>2</v>
      </c>
      <c r="I13" s="272">
        <f aca="true" t="shared" si="2" ref="I13:J25">ROUND(C13/1000,0)</f>
        <v>0</v>
      </c>
      <c r="J13" s="272">
        <f t="shared" si="2"/>
        <v>0</v>
      </c>
      <c r="K13" s="306" t="str">
        <f t="shared" si="1"/>
        <v> </v>
      </c>
      <c r="L13" s="272">
        <f>ROUND(F13/1000,0)</f>
        <v>35</v>
      </c>
    </row>
    <row r="14" spans="1:12" ht="17.25" customHeight="1">
      <c r="A14" s="67" t="s">
        <v>504</v>
      </c>
      <c r="B14" s="418">
        <v>3</v>
      </c>
      <c r="C14" s="212"/>
      <c r="D14" s="212"/>
      <c r="E14" s="425" t="str">
        <f t="shared" si="0"/>
        <v> </v>
      </c>
      <c r="F14" s="67">
        <v>76976</v>
      </c>
      <c r="G14" s="67" t="s">
        <v>504</v>
      </c>
      <c r="H14" s="418">
        <v>3</v>
      </c>
      <c r="I14" s="272">
        <f t="shared" si="2"/>
        <v>0</v>
      </c>
      <c r="J14" s="272">
        <f t="shared" si="2"/>
        <v>0</v>
      </c>
      <c r="K14" s="306" t="str">
        <f t="shared" si="1"/>
        <v> </v>
      </c>
      <c r="L14" s="272">
        <f>ROUND(F14/1000,0)</f>
        <v>77</v>
      </c>
    </row>
    <row r="15" spans="1:12" ht="16.5" customHeight="1">
      <c r="A15" s="67" t="s">
        <v>530</v>
      </c>
      <c r="B15" s="418">
        <v>4</v>
      </c>
      <c r="C15" s="212">
        <f>1198009+6739620</f>
        <v>7937629</v>
      </c>
      <c r="D15" s="212">
        <f>101932+1091355</f>
        <v>1193287</v>
      </c>
      <c r="E15" s="425">
        <f t="shared" si="0"/>
        <v>0.15033292687274752</v>
      </c>
      <c r="F15" s="67">
        <v>365119</v>
      </c>
      <c r="G15" s="67" t="s">
        <v>531</v>
      </c>
      <c r="H15" s="418">
        <v>4</v>
      </c>
      <c r="I15" s="272">
        <f t="shared" si="2"/>
        <v>7938</v>
      </c>
      <c r="J15" s="272">
        <f>ROUND(D15/1000,0)</f>
        <v>1193</v>
      </c>
      <c r="K15" s="306">
        <f t="shared" si="1"/>
        <v>0.15028974552784077</v>
      </c>
      <c r="L15" s="272">
        <f>ROUND(F15/1000,0)</f>
        <v>365</v>
      </c>
    </row>
    <row r="16" spans="1:12" ht="18.75" customHeight="1">
      <c r="A16" s="67" t="s">
        <v>506</v>
      </c>
      <c r="B16" s="418">
        <v>5</v>
      </c>
      <c r="C16" s="212">
        <v>135680628</v>
      </c>
      <c r="D16" s="212">
        <f>29077301+92916</f>
        <v>29170217</v>
      </c>
      <c r="E16" s="425">
        <f t="shared" si="0"/>
        <v>0.2149917599143188</v>
      </c>
      <c r="F16" s="67">
        <v>67306</v>
      </c>
      <c r="G16" s="67" t="s">
        <v>506</v>
      </c>
      <c r="H16" s="418">
        <v>5</v>
      </c>
      <c r="I16" s="272">
        <f t="shared" si="2"/>
        <v>135681</v>
      </c>
      <c r="J16" s="272">
        <f>ROUND(D16/1000,0)</f>
        <v>29170</v>
      </c>
      <c r="K16" s="306">
        <f t="shared" si="1"/>
        <v>0.21498957112639205</v>
      </c>
      <c r="L16" s="272">
        <f aca="true" t="shared" si="3" ref="L16:L22">ROUND(F16/1000,0)</f>
        <v>67</v>
      </c>
    </row>
    <row r="17" spans="1:12" ht="18" customHeight="1">
      <c r="A17" s="67" t="s">
        <v>507</v>
      </c>
      <c r="B17" s="418">
        <v>6</v>
      </c>
      <c r="C17" s="212">
        <v>516531015</v>
      </c>
      <c r="D17" s="212">
        <v>127596410</v>
      </c>
      <c r="E17" s="425">
        <f t="shared" si="0"/>
        <v>0.24702565053136258</v>
      </c>
      <c r="F17" s="67">
        <v>6421</v>
      </c>
      <c r="G17" s="67" t="s">
        <v>507</v>
      </c>
      <c r="H17" s="418">
        <v>6</v>
      </c>
      <c r="I17" s="272">
        <f t="shared" si="2"/>
        <v>516531</v>
      </c>
      <c r="J17" s="272">
        <f t="shared" si="2"/>
        <v>127596</v>
      </c>
      <c r="K17" s="306">
        <f t="shared" si="1"/>
        <v>0.24702486394814638</v>
      </c>
      <c r="L17" s="272">
        <f>ROUND(F17/1000,0)</f>
        <v>6</v>
      </c>
    </row>
    <row r="18" spans="1:12" ht="24" customHeight="1">
      <c r="A18" s="119" t="s">
        <v>508</v>
      </c>
      <c r="B18" s="418">
        <v>7</v>
      </c>
      <c r="C18" s="212">
        <f>8791245-190265</f>
        <v>8600980</v>
      </c>
      <c r="D18" s="212">
        <f>1544705+210146</f>
        <v>1754851</v>
      </c>
      <c r="E18" s="425">
        <f t="shared" si="0"/>
        <v>0.20402919202230443</v>
      </c>
      <c r="F18" s="67">
        <v>19237</v>
      </c>
      <c r="G18" s="119" t="s">
        <v>508</v>
      </c>
      <c r="H18" s="418">
        <v>7</v>
      </c>
      <c r="I18" s="272">
        <f t="shared" si="2"/>
        <v>8601</v>
      </c>
      <c r="J18" s="272">
        <f>ROUND(D18/1000,0)</f>
        <v>1755</v>
      </c>
      <c r="K18" s="306">
        <f t="shared" si="1"/>
        <v>0.20404604115800487</v>
      </c>
      <c r="L18" s="272">
        <f t="shared" si="3"/>
        <v>19</v>
      </c>
    </row>
    <row r="19" spans="1:12" ht="15.75" customHeight="1">
      <c r="A19" s="67" t="s">
        <v>509</v>
      </c>
      <c r="B19" s="418">
        <v>8</v>
      </c>
      <c r="C19" s="212">
        <f>1550000+190265+2400000</f>
        <v>4140265</v>
      </c>
      <c r="D19" s="212">
        <f>509000+758533</f>
        <v>1267533</v>
      </c>
      <c r="E19" s="425">
        <f t="shared" si="0"/>
        <v>0.3061477948875253</v>
      </c>
      <c r="F19" s="67">
        <v>126856</v>
      </c>
      <c r="G19" s="67" t="s">
        <v>509</v>
      </c>
      <c r="H19" s="418">
        <v>8</v>
      </c>
      <c r="I19" s="272">
        <f t="shared" si="2"/>
        <v>4140</v>
      </c>
      <c r="J19" s="272">
        <f t="shared" si="2"/>
        <v>1268</v>
      </c>
      <c r="K19" s="306">
        <f t="shared" si="1"/>
        <v>0.30628019323671496</v>
      </c>
      <c r="L19" s="272">
        <f t="shared" si="3"/>
        <v>127</v>
      </c>
    </row>
    <row r="20" spans="1:12" ht="20.25" customHeight="1">
      <c r="A20" s="67" t="s">
        <v>510</v>
      </c>
      <c r="B20" s="418">
        <v>9</v>
      </c>
      <c r="C20" s="212"/>
      <c r="D20" s="212"/>
      <c r="E20" s="425" t="str">
        <f t="shared" si="0"/>
        <v> </v>
      </c>
      <c r="F20" s="67"/>
      <c r="G20" s="67" t="s">
        <v>510</v>
      </c>
      <c r="H20" s="418">
        <v>9</v>
      </c>
      <c r="I20" s="272">
        <f t="shared" si="2"/>
        <v>0</v>
      </c>
      <c r="J20" s="272">
        <f t="shared" si="2"/>
        <v>0</v>
      </c>
      <c r="K20" s="306" t="str">
        <f t="shared" si="1"/>
        <v> </v>
      </c>
      <c r="L20" s="272">
        <f t="shared" si="3"/>
        <v>0</v>
      </c>
    </row>
    <row r="21" spans="1:12" ht="24.75" customHeight="1">
      <c r="A21" s="119" t="s">
        <v>511</v>
      </c>
      <c r="B21" s="418">
        <v>10</v>
      </c>
      <c r="C21" s="212">
        <v>500000</v>
      </c>
      <c r="D21" s="212">
        <v>90327</v>
      </c>
      <c r="E21" s="425">
        <f t="shared" si="0"/>
        <v>0.180654</v>
      </c>
      <c r="F21" s="67">
        <v>8248</v>
      </c>
      <c r="G21" s="119" t="s">
        <v>511</v>
      </c>
      <c r="H21" s="418">
        <v>10</v>
      </c>
      <c r="I21" s="272">
        <f>ROUND(C21/1000,0)-1</f>
        <v>499</v>
      </c>
      <c r="J21" s="272">
        <f t="shared" si="2"/>
        <v>90</v>
      </c>
      <c r="K21" s="306">
        <f t="shared" si="1"/>
        <v>0.18036072144288579</v>
      </c>
      <c r="L21" s="272">
        <f t="shared" si="3"/>
        <v>8</v>
      </c>
    </row>
    <row r="22" spans="1:12" ht="27.75" customHeight="1">
      <c r="A22" s="119" t="s">
        <v>512</v>
      </c>
      <c r="B22" s="418">
        <v>11</v>
      </c>
      <c r="C22" s="212"/>
      <c r="D22" s="212"/>
      <c r="E22" s="425" t="str">
        <f t="shared" si="0"/>
        <v> </v>
      </c>
      <c r="F22" s="67"/>
      <c r="G22" s="119" t="s">
        <v>512</v>
      </c>
      <c r="H22" s="418">
        <v>11</v>
      </c>
      <c r="I22" s="272">
        <f t="shared" si="2"/>
        <v>0</v>
      </c>
      <c r="J22" s="272">
        <f t="shared" si="2"/>
        <v>0</v>
      </c>
      <c r="K22" s="306" t="str">
        <f t="shared" si="1"/>
        <v> </v>
      </c>
      <c r="L22" s="272">
        <f t="shared" si="3"/>
        <v>0</v>
      </c>
    </row>
    <row r="23" spans="1:12" ht="18" customHeight="1">
      <c r="A23" s="67" t="s">
        <v>513</v>
      </c>
      <c r="B23" s="418">
        <v>12</v>
      </c>
      <c r="C23" s="212">
        <v>73121252</v>
      </c>
      <c r="D23" s="212">
        <f>132998+15217205+1563770-9718</f>
        <v>16904255</v>
      </c>
      <c r="E23" s="425">
        <f t="shared" si="0"/>
        <v>0.23118114826589675</v>
      </c>
      <c r="F23" s="67">
        <v>22302</v>
      </c>
      <c r="G23" s="67" t="s">
        <v>513</v>
      </c>
      <c r="H23" s="418">
        <v>12</v>
      </c>
      <c r="I23" s="272">
        <f t="shared" si="2"/>
        <v>73121</v>
      </c>
      <c r="J23" s="272">
        <f t="shared" si="2"/>
        <v>16904</v>
      </c>
      <c r="K23" s="306">
        <f t="shared" si="1"/>
        <v>0.23117845762503247</v>
      </c>
      <c r="L23" s="272">
        <f>ROUND(F23/1000,0)</f>
        <v>22</v>
      </c>
    </row>
    <row r="24" spans="1:12" ht="18.75" customHeight="1">
      <c r="A24" s="67" t="s">
        <v>514</v>
      </c>
      <c r="B24" s="418">
        <v>13</v>
      </c>
      <c r="C24" s="212">
        <f>2100500+1373300</f>
        <v>3473800</v>
      </c>
      <c r="D24" s="212">
        <f>149720+9914+600949</f>
        <v>760583</v>
      </c>
      <c r="E24" s="425">
        <f t="shared" si="0"/>
        <v>0.21894841384075076</v>
      </c>
      <c r="F24" s="67">
        <f>39857+46866+24313+2969+17927+30410+16663+234067+48319</f>
        <v>461391</v>
      </c>
      <c r="G24" s="67" t="s">
        <v>514</v>
      </c>
      <c r="H24" s="418">
        <v>13</v>
      </c>
      <c r="I24" s="272">
        <f t="shared" si="2"/>
        <v>3474</v>
      </c>
      <c r="J24" s="272">
        <f t="shared" si="2"/>
        <v>761</v>
      </c>
      <c r="K24" s="306">
        <f t="shared" si="1"/>
        <v>0.21905584340817502</v>
      </c>
      <c r="L24" s="272">
        <f>ROUND(F24/1000,0)+2</f>
        <v>463</v>
      </c>
    </row>
    <row r="25" spans="1:12" ht="24" customHeight="1">
      <c r="A25" s="119" t="s">
        <v>532</v>
      </c>
      <c r="B25" s="418">
        <v>14</v>
      </c>
      <c r="C25" s="212"/>
      <c r="D25" s="212"/>
      <c r="E25" s="425" t="str">
        <f t="shared" si="0"/>
        <v> </v>
      </c>
      <c r="F25" s="67"/>
      <c r="G25" s="119" t="s">
        <v>532</v>
      </c>
      <c r="H25" s="418">
        <v>14</v>
      </c>
      <c r="I25" s="272">
        <f t="shared" si="2"/>
        <v>0</v>
      </c>
      <c r="J25" s="272">
        <f t="shared" si="2"/>
        <v>0</v>
      </c>
      <c r="K25" s="306" t="str">
        <f t="shared" si="1"/>
        <v> </v>
      </c>
      <c r="L25" s="272">
        <f>ROUND(F25/1000,0)</f>
        <v>0</v>
      </c>
    </row>
    <row r="26" spans="2:11" ht="12.75">
      <c r="B26" s="87"/>
      <c r="C26" s="209"/>
      <c r="D26" s="209"/>
      <c r="E26" s="427"/>
      <c r="H26" s="87"/>
      <c r="I26" s="209"/>
      <c r="J26" s="209"/>
      <c r="K26" s="427"/>
    </row>
    <row r="27" spans="1:11" ht="12.75">
      <c r="A27" s="81" t="s">
        <v>533</v>
      </c>
      <c r="B27" s="87"/>
      <c r="C27" s="209"/>
      <c r="D27" s="209"/>
      <c r="E27" s="427"/>
      <c r="G27" s="81" t="s">
        <v>533</v>
      </c>
      <c r="H27" s="87"/>
      <c r="I27" s="209"/>
      <c r="J27" s="209"/>
      <c r="K27" s="427"/>
    </row>
    <row r="28" spans="2:11" ht="12.75">
      <c r="B28" s="87"/>
      <c r="C28" s="209"/>
      <c r="D28" s="209"/>
      <c r="E28" s="427"/>
      <c r="H28" s="87"/>
      <c r="I28" s="209"/>
      <c r="J28" s="209"/>
      <c r="K28" s="427"/>
    </row>
    <row r="29" spans="2:11" ht="12.75">
      <c r="B29" s="87"/>
      <c r="C29" s="209"/>
      <c r="D29" s="209"/>
      <c r="E29" s="427"/>
      <c r="H29" s="87"/>
      <c r="I29" s="209"/>
      <c r="J29" s="209"/>
      <c r="K29" s="427"/>
    </row>
    <row r="30" spans="2:11" ht="12.75">
      <c r="B30" s="87"/>
      <c r="C30" s="209"/>
      <c r="D30" s="209"/>
      <c r="E30" s="427"/>
      <c r="H30" s="87"/>
      <c r="I30" s="209"/>
      <c r="J30" s="209"/>
      <c r="K30" s="427"/>
    </row>
    <row r="31" spans="2:11" ht="12.75">
      <c r="B31" s="87"/>
      <c r="C31" s="209"/>
      <c r="D31" s="209"/>
      <c r="E31" s="427"/>
      <c r="H31" s="87"/>
      <c r="I31" s="209"/>
      <c r="J31" s="209"/>
      <c r="K31" s="427"/>
    </row>
    <row r="32" spans="2:11" ht="12.75">
      <c r="B32" s="87"/>
      <c r="C32" s="209"/>
      <c r="D32" s="209"/>
      <c r="E32" s="427"/>
      <c r="J32" s="209"/>
      <c r="K32" s="427"/>
    </row>
    <row r="33" spans="2:11" ht="12.75">
      <c r="B33" s="87"/>
      <c r="C33" s="209"/>
      <c r="D33" s="209"/>
      <c r="E33" s="427"/>
      <c r="H33" s="87"/>
      <c r="I33" s="209"/>
      <c r="J33" s="209"/>
      <c r="K33" s="427"/>
    </row>
    <row r="34" spans="1:11" ht="15.75" customHeight="1">
      <c r="A34" s="81" t="s">
        <v>534</v>
      </c>
      <c r="B34" s="87"/>
      <c r="C34" s="209" t="s">
        <v>519</v>
      </c>
      <c r="D34" s="209"/>
      <c r="E34" s="427"/>
      <c r="H34" s="87"/>
      <c r="I34" s="209"/>
      <c r="J34" s="209"/>
      <c r="K34" s="427"/>
    </row>
    <row r="35" spans="2:11" ht="12.75">
      <c r="B35" s="87"/>
      <c r="C35" s="209"/>
      <c r="D35" s="209"/>
      <c r="E35" s="427"/>
      <c r="H35" s="87"/>
      <c r="I35" s="209"/>
      <c r="J35" s="209"/>
      <c r="K35" s="427"/>
    </row>
    <row r="36" spans="3:11" ht="15.75" customHeight="1">
      <c r="C36" s="209"/>
      <c r="D36" s="209"/>
      <c r="E36" s="427"/>
      <c r="I36" s="209"/>
      <c r="J36" s="209"/>
      <c r="K36" s="427"/>
    </row>
    <row r="37" spans="3:11" ht="12.75">
      <c r="C37" s="209"/>
      <c r="D37" s="209"/>
      <c r="E37" s="427"/>
      <c r="G37" s="81" t="s">
        <v>534</v>
      </c>
      <c r="H37" s="87"/>
      <c r="I37" s="209" t="s">
        <v>521</v>
      </c>
      <c r="J37" s="209"/>
      <c r="K37" s="427"/>
    </row>
    <row r="38" spans="3:11" ht="12.75">
      <c r="C38" s="209"/>
      <c r="D38" s="209"/>
      <c r="E38" s="427"/>
      <c r="I38" s="209"/>
      <c r="J38" s="209"/>
      <c r="K38" s="427"/>
    </row>
    <row r="39" spans="3:11" ht="12.75">
      <c r="C39" s="209"/>
      <c r="D39" s="209"/>
      <c r="E39" s="427"/>
      <c r="I39" s="209"/>
      <c r="J39" s="209"/>
      <c r="K39" s="427"/>
    </row>
    <row r="40" spans="3:11" ht="12.75">
      <c r="C40" s="209"/>
      <c r="D40" s="209"/>
      <c r="E40" s="427"/>
      <c r="I40" s="209"/>
      <c r="J40" s="209"/>
      <c r="K40" s="427"/>
    </row>
    <row r="41" spans="3:11" ht="12.75">
      <c r="C41" s="209"/>
      <c r="D41" s="209"/>
      <c r="E41" s="427"/>
      <c r="I41" s="209"/>
      <c r="J41" s="209"/>
      <c r="K41" s="427"/>
    </row>
    <row r="42" spans="3:11" ht="12.75">
      <c r="C42" s="209"/>
      <c r="D42" s="209"/>
      <c r="E42" s="427"/>
      <c r="I42" s="209"/>
      <c r="J42" s="209"/>
      <c r="K42" s="427"/>
    </row>
    <row r="43" spans="3:11" ht="12.75">
      <c r="C43" s="209"/>
      <c r="D43" s="209"/>
      <c r="E43" s="427"/>
      <c r="I43" s="209"/>
      <c r="J43" s="209"/>
      <c r="K43" s="427"/>
    </row>
    <row r="44" spans="3:11" ht="12.75">
      <c r="C44" s="209"/>
      <c r="D44" s="209"/>
      <c r="E44" s="427"/>
      <c r="I44" s="209"/>
      <c r="J44" s="209"/>
      <c r="K44" s="427"/>
    </row>
    <row r="45" spans="1:11" ht="12.75">
      <c r="A45" s="44" t="s">
        <v>142</v>
      </c>
      <c r="C45" s="209"/>
      <c r="D45" s="209"/>
      <c r="E45" s="427"/>
      <c r="G45" s="44" t="s">
        <v>142</v>
      </c>
      <c r="I45" s="209"/>
      <c r="J45" s="209"/>
      <c r="K45" s="427"/>
    </row>
    <row r="46" spans="1:11" ht="12.75">
      <c r="A46" s="44" t="s">
        <v>101</v>
      </c>
      <c r="C46" s="209"/>
      <c r="D46" s="209"/>
      <c r="E46" s="427"/>
      <c r="G46" s="44" t="s">
        <v>101</v>
      </c>
      <c r="I46" s="209"/>
      <c r="J46" s="209"/>
      <c r="K46" s="427"/>
    </row>
    <row r="47" spans="3:11" ht="12.75">
      <c r="C47" s="209"/>
      <c r="D47" s="209"/>
      <c r="E47" s="427"/>
      <c r="I47" s="209"/>
      <c r="J47" s="209"/>
      <c r="K47" s="427"/>
    </row>
    <row r="48" spans="3:11" ht="12.75">
      <c r="C48" s="209"/>
      <c r="D48" s="209"/>
      <c r="E48" s="427"/>
      <c r="I48" s="209"/>
      <c r="J48" s="209"/>
      <c r="K48" s="427"/>
    </row>
    <row r="49" spans="3:11" ht="12.75">
      <c r="C49" s="209"/>
      <c r="D49" s="209"/>
      <c r="E49" s="427"/>
      <c r="I49" s="209"/>
      <c r="J49" s="209"/>
      <c r="K49" s="427"/>
    </row>
    <row r="50" spans="3:11" ht="12.75">
      <c r="C50" s="209"/>
      <c r="D50" s="209"/>
      <c r="E50" s="427"/>
      <c r="I50" s="209"/>
      <c r="J50" s="209"/>
      <c r="K50" s="427"/>
    </row>
    <row r="51" spans="3:11" ht="12.75">
      <c r="C51" s="209"/>
      <c r="D51" s="209"/>
      <c r="E51" s="427"/>
      <c r="I51" s="209"/>
      <c r="J51" s="209"/>
      <c r="K51" s="427"/>
    </row>
    <row r="52" spans="3:11" ht="12.75">
      <c r="C52" s="209"/>
      <c r="D52" s="209"/>
      <c r="E52" s="427"/>
      <c r="I52" s="209"/>
      <c r="J52" s="209"/>
      <c r="K52" s="427"/>
    </row>
    <row r="53" spans="3:11" ht="12.75">
      <c r="C53" s="209"/>
      <c r="D53" s="209"/>
      <c r="E53" s="427"/>
      <c r="I53" s="209"/>
      <c r="J53" s="209"/>
      <c r="K53" s="427"/>
    </row>
    <row r="54" spans="3:11" ht="12.75">
      <c r="C54" s="209"/>
      <c r="E54" s="427"/>
      <c r="I54" s="209"/>
      <c r="K54" s="427"/>
    </row>
    <row r="55" spans="3:11" ht="12.75">
      <c r="C55" s="209"/>
      <c r="E55" s="427"/>
      <c r="I55" s="209"/>
      <c r="K55" s="427"/>
    </row>
    <row r="56" spans="3:11" ht="12.75">
      <c r="C56" s="209"/>
      <c r="E56" s="427"/>
      <c r="I56" s="209"/>
      <c r="K56" s="427"/>
    </row>
    <row r="57" spans="3:11" ht="12.75">
      <c r="C57" s="209"/>
      <c r="E57" s="427"/>
      <c r="I57" s="209"/>
      <c r="K57" s="427"/>
    </row>
    <row r="58" spans="3:11" ht="12.75">
      <c r="C58" s="209"/>
      <c r="E58" s="427"/>
      <c r="I58" s="209"/>
      <c r="K58" s="427"/>
    </row>
    <row r="59" spans="3:11" ht="12.75">
      <c r="C59" s="209"/>
      <c r="E59" s="427"/>
      <c r="I59" s="209"/>
      <c r="K59" s="427"/>
    </row>
    <row r="60" spans="3:11" ht="12.75">
      <c r="C60" s="209"/>
      <c r="E60" s="427"/>
      <c r="I60" s="209"/>
      <c r="K60" s="427"/>
    </row>
    <row r="61" spans="3:11" ht="12.75">
      <c r="C61" s="209"/>
      <c r="E61" s="427"/>
      <c r="I61" s="209"/>
      <c r="K61" s="427"/>
    </row>
    <row r="62" spans="3:11" ht="12.75">
      <c r="C62" s="209"/>
      <c r="E62" s="427"/>
      <c r="I62" s="209"/>
      <c r="K62" s="427"/>
    </row>
    <row r="63" spans="3:11" ht="12.75">
      <c r="C63" s="209"/>
      <c r="E63" s="427"/>
      <c r="I63" s="209"/>
      <c r="K63" s="427"/>
    </row>
    <row r="64" spans="3:11" ht="12.75">
      <c r="C64" s="209"/>
      <c r="E64" s="427"/>
      <c r="I64" s="209"/>
      <c r="K64" s="427"/>
    </row>
    <row r="65" spans="3:11" ht="12.75">
      <c r="C65" s="209"/>
      <c r="E65" s="427"/>
      <c r="I65" s="209"/>
      <c r="K65" s="427"/>
    </row>
    <row r="66" spans="3:11" ht="12.75">
      <c r="C66" s="209"/>
      <c r="E66" s="427"/>
      <c r="I66" s="209"/>
      <c r="K66" s="427"/>
    </row>
    <row r="67" spans="3:11" ht="12.75">
      <c r="C67" s="209"/>
      <c r="E67" s="427"/>
      <c r="I67" s="209"/>
      <c r="K67" s="427"/>
    </row>
    <row r="68" spans="3:11" ht="12.75">
      <c r="C68" s="209"/>
      <c r="E68" s="427"/>
      <c r="I68" s="209"/>
      <c r="K68" s="427"/>
    </row>
    <row r="69" spans="3:11" ht="12.75">
      <c r="C69" s="209"/>
      <c r="E69" s="427"/>
      <c r="I69" s="209"/>
      <c r="K69" s="427"/>
    </row>
    <row r="70" spans="3:11" ht="12.75">
      <c r="C70" s="209"/>
      <c r="E70" s="427"/>
      <c r="I70" s="209"/>
      <c r="K70" s="427"/>
    </row>
    <row r="71" spans="3:11" ht="12.75">
      <c r="C71" s="209"/>
      <c r="E71" s="427"/>
      <c r="I71" s="209"/>
      <c r="K71" s="427"/>
    </row>
    <row r="72" spans="3:11" ht="12.75">
      <c r="C72" s="209"/>
      <c r="E72" s="427"/>
      <c r="I72" s="209"/>
      <c r="K72" s="427"/>
    </row>
    <row r="73" spans="3:11" ht="12.75">
      <c r="C73" s="209"/>
      <c r="E73" s="427"/>
      <c r="I73" s="209"/>
      <c r="K73" s="427"/>
    </row>
    <row r="74" spans="3:11" ht="12.75">
      <c r="C74" s="209"/>
      <c r="E74" s="427"/>
      <c r="I74" s="209"/>
      <c r="K74" s="427"/>
    </row>
    <row r="75" spans="3:11" ht="12.75">
      <c r="C75" s="209"/>
      <c r="E75" s="427"/>
      <c r="I75" s="209"/>
      <c r="K75" s="427"/>
    </row>
    <row r="76" spans="3:11" ht="12.75">
      <c r="C76" s="209"/>
      <c r="E76" s="427"/>
      <c r="I76" s="209"/>
      <c r="K76" s="427"/>
    </row>
    <row r="77" spans="3:11" ht="12.75">
      <c r="C77" s="209"/>
      <c r="E77" s="427"/>
      <c r="I77" s="209"/>
      <c r="K77" s="427"/>
    </row>
    <row r="78" spans="3:11" ht="12.75">
      <c r="C78" s="209"/>
      <c r="E78" s="427"/>
      <c r="I78" s="209"/>
      <c r="K78" s="427"/>
    </row>
    <row r="79" spans="3:11" ht="12.75">
      <c r="C79" s="209"/>
      <c r="E79" s="427"/>
      <c r="I79" s="209"/>
      <c r="K79" s="427"/>
    </row>
    <row r="80" spans="3:11" ht="12.75">
      <c r="C80" s="209"/>
      <c r="E80" s="427"/>
      <c r="I80" s="209"/>
      <c r="K80" s="427"/>
    </row>
    <row r="81" spans="2:10" ht="12.75">
      <c r="B81" s="209"/>
      <c r="D81" s="427"/>
      <c r="H81" s="209"/>
      <c r="J81" s="427"/>
    </row>
    <row r="82" spans="2:10" ht="12.75">
      <c r="B82" s="209"/>
      <c r="D82" s="427"/>
      <c r="H82" s="209"/>
      <c r="J82" s="427"/>
    </row>
    <row r="83" spans="2:10" ht="12.75">
      <c r="B83" s="209"/>
      <c r="D83" s="427"/>
      <c r="H83" s="209"/>
      <c r="J83" s="427"/>
    </row>
    <row r="84" spans="2:10" ht="12.75">
      <c r="B84" s="209"/>
      <c r="D84" s="427"/>
      <c r="H84" s="209"/>
      <c r="J84" s="427"/>
    </row>
    <row r="85" spans="2:10" ht="12.75">
      <c r="B85" s="209"/>
      <c r="D85" s="427"/>
      <c r="H85" s="209"/>
      <c r="J85" s="427"/>
    </row>
    <row r="86" spans="2:10" ht="12.75">
      <c r="B86" s="209"/>
      <c r="D86" s="427"/>
      <c r="H86" s="209"/>
      <c r="J86" s="427"/>
    </row>
    <row r="87" spans="2:10" ht="12.75">
      <c r="B87" s="209"/>
      <c r="D87" s="427"/>
      <c r="H87" s="209"/>
      <c r="J87" s="427"/>
    </row>
    <row r="88" spans="2:10" ht="12.75">
      <c r="B88" s="209"/>
      <c r="D88" s="427"/>
      <c r="H88" s="209"/>
      <c r="J88" s="427"/>
    </row>
    <row r="89" spans="2:10" ht="12.75">
      <c r="B89" s="209"/>
      <c r="D89" s="427"/>
      <c r="H89" s="209"/>
      <c r="J89" s="427"/>
    </row>
    <row r="90" spans="2:10" ht="12.75">
      <c r="B90" s="209"/>
      <c r="D90" s="427"/>
      <c r="H90" s="209"/>
      <c r="J90" s="427"/>
    </row>
    <row r="91" spans="2:10" ht="12.75">
      <c r="B91" s="209"/>
      <c r="D91" s="427"/>
      <c r="H91" s="209"/>
      <c r="J91" s="427"/>
    </row>
    <row r="92" spans="2:10" ht="12.75">
      <c r="B92" s="209"/>
      <c r="D92" s="427"/>
      <c r="H92" s="209"/>
      <c r="J92" s="427"/>
    </row>
    <row r="93" spans="2:10" ht="12.75">
      <c r="B93" s="209"/>
      <c r="D93" s="427"/>
      <c r="H93" s="209"/>
      <c r="J93" s="427"/>
    </row>
    <row r="94" spans="2:10" ht="12.75">
      <c r="B94" s="209"/>
      <c r="D94" s="427"/>
      <c r="H94" s="209"/>
      <c r="J94" s="427"/>
    </row>
    <row r="95" spans="2:10" ht="12.75">
      <c r="B95" s="209"/>
      <c r="D95" s="427"/>
      <c r="H95" s="209"/>
      <c r="J95" s="427"/>
    </row>
    <row r="96" spans="2:10" ht="12.75">
      <c r="B96" s="209"/>
      <c r="D96" s="427"/>
      <c r="H96" s="209"/>
      <c r="J96" s="427"/>
    </row>
    <row r="97" spans="2:10" ht="12.75">
      <c r="B97" s="209"/>
      <c r="D97" s="427"/>
      <c r="H97" s="209"/>
      <c r="J97" s="427"/>
    </row>
    <row r="98" spans="2:10" ht="12.75">
      <c r="B98" s="209"/>
      <c r="D98" s="427"/>
      <c r="H98" s="209"/>
      <c r="J98" s="427"/>
    </row>
    <row r="99" spans="2:10" ht="12.75">
      <c r="B99" s="209"/>
      <c r="D99" s="427"/>
      <c r="H99" s="209"/>
      <c r="J99" s="427"/>
    </row>
    <row r="100" spans="2:10" ht="12.75">
      <c r="B100" s="209"/>
      <c r="D100" s="427"/>
      <c r="H100" s="209"/>
      <c r="J100" s="427"/>
    </row>
    <row r="101" spans="2:8" ht="12.75">
      <c r="B101" s="209"/>
      <c r="H101" s="209"/>
    </row>
    <row r="102" spans="2:8" ht="12.75">
      <c r="B102" s="209"/>
      <c r="H102" s="209"/>
    </row>
    <row r="103" spans="2:8" ht="12.75">
      <c r="B103" s="209"/>
      <c r="H103" s="209"/>
    </row>
    <row r="104" spans="2:8" ht="12.75">
      <c r="B104" s="209"/>
      <c r="H104" s="209"/>
    </row>
    <row r="105" spans="2:8" ht="12.75">
      <c r="B105" s="209"/>
      <c r="H105" s="209"/>
    </row>
    <row r="106" spans="2:8" ht="12.75">
      <c r="B106" s="209"/>
      <c r="H106" s="209"/>
    </row>
    <row r="107" spans="2:8" ht="12.75">
      <c r="B107" s="209"/>
      <c r="H107" s="209"/>
    </row>
    <row r="108" spans="2:8" ht="12.75">
      <c r="B108" s="209"/>
      <c r="H108" s="209"/>
    </row>
    <row r="109" spans="2:8" ht="12.75">
      <c r="B109" s="209"/>
      <c r="H109" s="209"/>
    </row>
  </sheetData>
  <mergeCells count="2">
    <mergeCell ref="G4:L4"/>
    <mergeCell ref="G5:L5"/>
  </mergeCells>
  <printOptions/>
  <pageMargins left="0.75" right="0.17" top="1" bottom="0.16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Z245"/>
  <sheetViews>
    <sheetView workbookViewId="0" topLeftCell="H1">
      <selection activeCell="A4" sqref="A4"/>
    </sheetView>
  </sheetViews>
  <sheetFormatPr defaultColWidth="9.140625" defaultRowHeight="12.75"/>
  <cols>
    <col min="1" max="1" width="36.00390625" style="44" hidden="1" customWidth="1"/>
    <col min="2" max="3" width="11.421875" style="44" hidden="1" customWidth="1"/>
    <col min="4" max="4" width="10.57421875" style="44" hidden="1" customWidth="1"/>
    <col min="5" max="5" width="6.421875" style="44" hidden="1" customWidth="1"/>
    <col min="6" max="7" width="9.140625" style="44" hidden="1" customWidth="1"/>
    <col min="8" max="8" width="36.00390625" style="44" customWidth="1"/>
    <col min="9" max="9" width="10.8515625" style="44" customWidth="1"/>
    <col min="10" max="10" width="10.57421875" style="44" customWidth="1"/>
    <col min="11" max="11" width="8.140625" style="44" customWidth="1"/>
    <col min="12" max="12" width="7.421875" style="44" customWidth="1"/>
    <col min="13" max="13" width="9.00390625" style="44" customWidth="1"/>
    <col min="14" max="14" width="8.8515625" style="44" customWidth="1"/>
    <col min="15" max="104" width="11.421875" style="0" customWidth="1"/>
    <col min="105" max="16384" width="11.421875" style="44" customWidth="1"/>
  </cols>
  <sheetData>
    <row r="1" spans="1:14" ht="17.25" customHeight="1">
      <c r="A1" s="32" t="s">
        <v>102</v>
      </c>
      <c r="B1" s="32"/>
      <c r="C1" s="43"/>
      <c r="D1" s="32"/>
      <c r="E1" s="32"/>
      <c r="F1" s="43"/>
      <c r="G1" s="44" t="s">
        <v>103</v>
      </c>
      <c r="H1" s="32" t="s">
        <v>102</v>
      </c>
      <c r="I1" s="32"/>
      <c r="J1" s="43"/>
      <c r="K1" s="32"/>
      <c r="L1" s="32"/>
      <c r="M1" s="43"/>
      <c r="N1" s="44" t="s">
        <v>104</v>
      </c>
    </row>
    <row r="2" spans="1:14" ht="12.75">
      <c r="A2" s="32"/>
      <c r="B2" s="32"/>
      <c r="C2" s="43"/>
      <c r="D2" s="32"/>
      <c r="E2" s="32"/>
      <c r="F2" s="43"/>
      <c r="G2" s="2"/>
      <c r="H2" s="32"/>
      <c r="I2" s="32"/>
      <c r="J2" s="43"/>
      <c r="K2" s="32"/>
      <c r="L2" s="32"/>
      <c r="M2" s="43"/>
      <c r="N2" s="2"/>
    </row>
    <row r="3" spans="1:14" ht="18.75" customHeight="1">
      <c r="A3" s="45" t="s">
        <v>105</v>
      </c>
      <c r="B3" s="43"/>
      <c r="C3" s="43"/>
      <c r="D3" s="43"/>
      <c r="E3" s="43"/>
      <c r="F3" s="43"/>
      <c r="G3" s="2"/>
      <c r="H3" s="45" t="s">
        <v>106</v>
      </c>
      <c r="I3" s="43"/>
      <c r="J3" s="43"/>
      <c r="K3" s="43"/>
      <c r="L3" s="43"/>
      <c r="M3" s="43"/>
      <c r="N3" s="2"/>
    </row>
    <row r="4" spans="1:14" ht="19.5" customHeight="1">
      <c r="A4" s="45" t="s">
        <v>107</v>
      </c>
      <c r="B4" s="43"/>
      <c r="C4" s="43"/>
      <c r="D4" s="43"/>
      <c r="E4" s="43"/>
      <c r="F4" s="43"/>
      <c r="G4" s="2"/>
      <c r="H4" s="45" t="s">
        <v>107</v>
      </c>
      <c r="I4" s="43"/>
      <c r="J4" s="43"/>
      <c r="K4" s="43"/>
      <c r="L4" s="43"/>
      <c r="M4" s="43"/>
      <c r="N4" s="2"/>
    </row>
    <row r="5" spans="1:14" ht="11.25" customHeight="1">
      <c r="A5" s="2"/>
      <c r="B5" s="2"/>
      <c r="C5" s="2"/>
      <c r="D5" s="46"/>
      <c r="E5" s="36"/>
      <c r="F5" s="2"/>
      <c r="G5" s="3" t="s">
        <v>108</v>
      </c>
      <c r="H5" s="2"/>
      <c r="I5" s="2"/>
      <c r="J5" s="2"/>
      <c r="K5" s="46"/>
      <c r="L5" s="36"/>
      <c r="M5" s="2"/>
      <c r="N5" s="3" t="s">
        <v>109</v>
      </c>
    </row>
    <row r="6" spans="1:14" ht="79.5" customHeight="1">
      <c r="A6" s="5" t="s">
        <v>59</v>
      </c>
      <c r="B6" s="5" t="s">
        <v>110</v>
      </c>
      <c r="C6" s="5" t="s">
        <v>111</v>
      </c>
      <c r="D6" s="5" t="s">
        <v>112</v>
      </c>
      <c r="E6" s="5" t="s">
        <v>113</v>
      </c>
      <c r="F6" s="5" t="s">
        <v>114</v>
      </c>
      <c r="G6" s="5" t="s">
        <v>115</v>
      </c>
      <c r="H6" s="5" t="s">
        <v>59</v>
      </c>
      <c r="I6" s="5" t="s">
        <v>110</v>
      </c>
      <c r="J6" s="5" t="s">
        <v>111</v>
      </c>
      <c r="K6" s="5" t="s">
        <v>112</v>
      </c>
      <c r="L6" s="5" t="s">
        <v>113</v>
      </c>
      <c r="M6" s="5" t="s">
        <v>114</v>
      </c>
      <c r="N6" s="5" t="s">
        <v>63</v>
      </c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47">
        <v>7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48">
        <v>7</v>
      </c>
    </row>
    <row r="8" spans="1:104" ht="38.25">
      <c r="A8" s="49" t="s">
        <v>116</v>
      </c>
      <c r="B8" s="50">
        <f>B9+B12</f>
        <v>39782537</v>
      </c>
      <c r="C8" s="50">
        <f>C9+C12</f>
        <v>5316614</v>
      </c>
      <c r="D8" s="50">
        <f>D9+D12</f>
        <v>1460908</v>
      </c>
      <c r="E8" s="51">
        <f aca="true" t="shared" si="0" ref="E8:F23">IF(ISERROR(D8/B8)," ",(D8/B8))</f>
        <v>0.03672234377611463</v>
      </c>
      <c r="F8" s="51">
        <f t="shared" si="0"/>
        <v>6.907092329086638E-09</v>
      </c>
      <c r="G8" s="50">
        <f>D8-'[2]Februaris'!D8</f>
        <v>259302</v>
      </c>
      <c r="H8" s="49" t="s">
        <v>116</v>
      </c>
      <c r="I8" s="52">
        <f>I9+I12</f>
        <v>39782</v>
      </c>
      <c r="J8" s="52">
        <f>J9+J12</f>
        <v>5316</v>
      </c>
      <c r="K8" s="52">
        <f>K9+K12</f>
        <v>1460</v>
      </c>
      <c r="L8" s="53">
        <f aca="true" t="shared" si="1" ref="L8:L32">IF(ISERROR(ROUND(K8,0)/ROUND(I8,0))," ",(ROUND(K8,)/ROUND(I8,)))</f>
        <v>0.03670001508219798</v>
      </c>
      <c r="M8" s="54">
        <f>IF(ISERROR(ROUND(K8,0)/ROUND(J8,0))," ",(ROUND(K8,)/ROUND(J8,)))</f>
        <v>0.2746425884123401</v>
      </c>
      <c r="N8" s="50">
        <f>K8-'[2]Februaris'!K8</f>
        <v>259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</row>
    <row r="9" spans="1:104" s="57" customFormat="1" ht="15" customHeight="1">
      <c r="A9" s="55" t="s">
        <v>117</v>
      </c>
      <c r="B9" s="50">
        <f>SUM(B10:B11)</f>
        <v>31643057</v>
      </c>
      <c r="C9" s="50">
        <f>SUM(C10:C11)</f>
        <v>4350482</v>
      </c>
      <c r="D9" s="50">
        <f>SUM(D10:D11)</f>
        <v>749905</v>
      </c>
      <c r="E9" s="51">
        <f t="shared" si="0"/>
        <v>0.023698879662606556</v>
      </c>
      <c r="F9" s="51">
        <f aca="true" t="shared" si="2" ref="F9:F72">IF(ISERROR(D9/C9)," ",(D9/C9))</f>
        <v>0.17237285431821117</v>
      </c>
      <c r="G9" s="50">
        <f>D9-'[2]Februaris'!D9</f>
        <v>111358</v>
      </c>
      <c r="H9" s="55" t="s">
        <v>117</v>
      </c>
      <c r="I9" s="50">
        <f>SUM(I10:I11)</f>
        <v>31643</v>
      </c>
      <c r="J9" s="50">
        <f>SUM(J10:J11)</f>
        <v>4350</v>
      </c>
      <c r="K9" s="50">
        <f>SUM(K10:K11)</f>
        <v>749</v>
      </c>
      <c r="L9" s="53">
        <f t="shared" si="1"/>
        <v>0.02367032203014885</v>
      </c>
      <c r="M9" s="56">
        <f>IF(ISERROR(ROUND(K9,0)/ROUND(J9,0))," ",(ROUND(K9,)/ROUND(J9,)))</f>
        <v>0.17218390804597702</v>
      </c>
      <c r="N9" s="50">
        <f>K9-'[2]Februaris'!K9</f>
        <v>111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</row>
    <row r="10" spans="1:104" s="65" customFormat="1" ht="13.5" customHeight="1">
      <c r="A10" s="58" t="s">
        <v>118</v>
      </c>
      <c r="B10" s="7">
        <f>SUM(B17,B22,B28,B35,B42,B47,B59,B66,B73,B80,B85)</f>
        <v>24233753</v>
      </c>
      <c r="C10" s="7">
        <f>SUM(C17,C22,C28,C35,C42,C47,C59,C66,C73,C80,C85)</f>
        <v>3049657</v>
      </c>
      <c r="D10" s="7">
        <f>SUM(D17,D22,D28,D35,D42,D47,D59,D66,D73,D80,D85)</f>
        <v>749905</v>
      </c>
      <c r="E10" s="59">
        <f t="shared" si="0"/>
        <v>0.030944649803107262</v>
      </c>
      <c r="F10" s="59">
        <f t="shared" si="2"/>
        <v>0.24589814526682838</v>
      </c>
      <c r="G10" s="50">
        <f>D10-'[2]Februaris'!D10</f>
        <v>111358</v>
      </c>
      <c r="H10" s="58" t="s">
        <v>118</v>
      </c>
      <c r="I10" s="60">
        <f>SUM(I17,I22,I28,I35,I42,I47,I59,I66,I73,I80,I85)</f>
        <v>24234</v>
      </c>
      <c r="J10" s="60">
        <f>SUM(J17,J22,J28,J35,J42,J47,J59,J66,J73,J80,J85)</f>
        <v>3049</v>
      </c>
      <c r="K10" s="60">
        <f>SUM(K17,K22,K28,K35,K42,K47,K59,K66,K73,K80,K85)</f>
        <v>749</v>
      </c>
      <c r="L10" s="61">
        <f t="shared" si="1"/>
        <v>0.030906990179087233</v>
      </c>
      <c r="M10" s="62">
        <f>IF(ISERROR(ROUND(K10,0)/ROUND(J10,0))," ",(ROUND(K10,)/ROUND(J10,)))</f>
        <v>0.24565431288947195</v>
      </c>
      <c r="N10" s="63">
        <f>K10-'[2]Februaris'!K10</f>
        <v>111</v>
      </c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</row>
    <row r="11" spans="1:104" s="65" customFormat="1" ht="14.25" customHeight="1">
      <c r="A11" s="58" t="s">
        <v>119</v>
      </c>
      <c r="B11" s="7">
        <f>SUM(B23,B29,B36,B48,B54,B60,B67,B74,)</f>
        <v>7409304</v>
      </c>
      <c r="C11" s="7">
        <f>SUM(C23,C29,C36,C48,C54,C60,C67,C74,)</f>
        <v>1300825</v>
      </c>
      <c r="D11" s="7">
        <f>SUM(D23,D29,D36,D48,D54,D60,D67,D74,)</f>
        <v>0</v>
      </c>
      <c r="E11" s="59">
        <f t="shared" si="0"/>
        <v>0</v>
      </c>
      <c r="F11" s="59">
        <f t="shared" si="2"/>
        <v>0</v>
      </c>
      <c r="G11" s="50">
        <f>D11-'[2]Februaris'!D11</f>
        <v>0</v>
      </c>
      <c r="H11" s="58" t="s">
        <v>119</v>
      </c>
      <c r="I11" s="60">
        <f>SUM(I23,I29,I36,I48,I54,I60,I67,I74,)</f>
        <v>7409</v>
      </c>
      <c r="J11" s="60">
        <f>SUM(J23,J29,J36,J48,J54,J60,J67,J74,)</f>
        <v>1301</v>
      </c>
      <c r="K11" s="60">
        <f>SUM(K23,K29,K36,K48,K54,K60,K67,K74,)</f>
        <v>0</v>
      </c>
      <c r="L11" s="61">
        <f t="shared" si="1"/>
        <v>0</v>
      </c>
      <c r="M11" s="62"/>
      <c r="N11" s="63">
        <f>K11-'[2]Februaris'!K11</f>
        <v>0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</row>
    <row r="12" spans="1:104" s="67" customFormat="1" ht="14.25" customHeight="1">
      <c r="A12" s="55" t="s">
        <v>120</v>
      </c>
      <c r="B12" s="50">
        <f>SUM(B13:B14)</f>
        <v>8139480</v>
      </c>
      <c r="C12" s="50">
        <f>SUM(C13:C14)</f>
        <v>966132</v>
      </c>
      <c r="D12" s="50">
        <f>SUM(D13:D14)</f>
        <v>711003</v>
      </c>
      <c r="E12" s="51">
        <f t="shared" si="0"/>
        <v>0.08735238614751803</v>
      </c>
      <c r="F12" s="51">
        <f t="shared" si="2"/>
        <v>0.7359273888040143</v>
      </c>
      <c r="G12" s="50">
        <f>D12-'[2]Februaris'!D12</f>
        <v>147944</v>
      </c>
      <c r="H12" s="55" t="s">
        <v>120</v>
      </c>
      <c r="I12" s="52">
        <f>SUM(I13:I14)</f>
        <v>8139</v>
      </c>
      <c r="J12" s="52">
        <f>SUM(J13:J14)</f>
        <v>966</v>
      </c>
      <c r="K12" s="52">
        <f>SUM(K13:K14)</f>
        <v>711</v>
      </c>
      <c r="L12" s="53">
        <f t="shared" si="1"/>
        <v>0.08735716918540361</v>
      </c>
      <c r="M12" s="54">
        <f aca="true" t="shared" si="3" ref="M12:M22">IF(ISERROR(ROUND(K12,0)/ROUND(J12,0))," ",(ROUND(K12,)/ROUND(J12,)))</f>
        <v>0.7360248447204969</v>
      </c>
      <c r="N12" s="66">
        <f>K12-'[2]Februaris'!K12</f>
        <v>148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</row>
    <row r="13" spans="1:104" s="65" customFormat="1" ht="13.5" customHeight="1">
      <c r="A13" s="58" t="s">
        <v>118</v>
      </c>
      <c r="B13" s="7">
        <f>B19+B25+B31+B38+B44+B50+B62+B69+B76+B82</f>
        <v>5519205</v>
      </c>
      <c r="C13" s="7">
        <f>C19+C25+C31+C38+C44+C50+C62+C69+C76+C82</f>
        <v>523832</v>
      </c>
      <c r="D13" s="7">
        <f>D19+D25+D31+D38+D44+D50+D62+D69+D76+D82</f>
        <v>438167</v>
      </c>
      <c r="E13" s="59">
        <f t="shared" si="0"/>
        <v>0.07938951352595165</v>
      </c>
      <c r="F13" s="59">
        <f t="shared" si="2"/>
        <v>0.8364647444218757</v>
      </c>
      <c r="G13" s="50">
        <f>D13-'[2]Februaris'!D13</f>
        <v>33655</v>
      </c>
      <c r="H13" s="58" t="s">
        <v>118</v>
      </c>
      <c r="I13" s="60">
        <f>I19+I25+I31+I38+I44+I50+I62+I69+I76+I82</f>
        <v>5519</v>
      </c>
      <c r="J13" s="60">
        <f>J19+J25+J31+J38+J44+J50+J62+J69+J76+J82</f>
        <v>524</v>
      </c>
      <c r="K13" s="60">
        <f>K19+K25+K31+K38+K44+K50+K62+K69+K76+K82</f>
        <v>438</v>
      </c>
      <c r="L13" s="61">
        <f t="shared" si="1"/>
        <v>0.07936220329769886</v>
      </c>
      <c r="M13" s="61">
        <f t="shared" si="3"/>
        <v>0.8358778625954199</v>
      </c>
      <c r="N13" s="63">
        <f>K13-'[2]Februaris'!K13</f>
        <v>34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</row>
    <row r="14" spans="1:104" s="65" customFormat="1" ht="14.25" customHeight="1">
      <c r="A14" s="58" t="s">
        <v>119</v>
      </c>
      <c r="B14" s="7">
        <f>B32+B39+B51+B56+B63+B70+B77</f>
        <v>2620275</v>
      </c>
      <c r="C14" s="7">
        <f>C32+C39+C51+C56+C63+C70+C77</f>
        <v>442300</v>
      </c>
      <c r="D14" s="7">
        <f>D32+D39+D51+D56+D63+D70+D77</f>
        <v>272836</v>
      </c>
      <c r="E14" s="59">
        <f t="shared" si="0"/>
        <v>0.1041249487172148</v>
      </c>
      <c r="F14" s="59">
        <f t="shared" si="2"/>
        <v>0.6168573366493331</v>
      </c>
      <c r="G14" s="50">
        <f>D14-'[2]Februaris'!D14</f>
        <v>114289</v>
      </c>
      <c r="H14" s="58" t="s">
        <v>119</v>
      </c>
      <c r="I14" s="63">
        <f>I32+I39+I51+I56+I63+I70+I77</f>
        <v>2620</v>
      </c>
      <c r="J14" s="63">
        <f>J32+J39+J51+J56+J63+J70+J77</f>
        <v>442</v>
      </c>
      <c r="K14" s="63">
        <f>K32+K39+K51+K56+K63+K70+K77</f>
        <v>273</v>
      </c>
      <c r="L14" s="61">
        <f t="shared" si="1"/>
        <v>0.10419847328244275</v>
      </c>
      <c r="M14" s="61">
        <f t="shared" si="3"/>
        <v>0.6176470588235294</v>
      </c>
      <c r="N14" s="63">
        <f>K14-'[2]Februaris'!K14</f>
        <v>114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</row>
    <row r="15" spans="1:104" s="70" customFormat="1" ht="13.5" customHeight="1">
      <c r="A15" s="68" t="s">
        <v>121</v>
      </c>
      <c r="B15" s="60">
        <f>B16+B18</f>
        <v>158127</v>
      </c>
      <c r="C15" s="60">
        <f>C16+C18</f>
        <v>63018</v>
      </c>
      <c r="D15" s="60">
        <f>D16+D18</f>
        <v>28294</v>
      </c>
      <c r="E15" s="69">
        <f t="shared" si="0"/>
        <v>0.17893212417866652</v>
      </c>
      <c r="F15" s="69">
        <f t="shared" si="2"/>
        <v>0.4489828303024533</v>
      </c>
      <c r="G15" s="50">
        <f>D15-'[2]Februaris'!D15</f>
        <v>16120</v>
      </c>
      <c r="H15" s="68" t="s">
        <v>121</v>
      </c>
      <c r="I15" s="60">
        <f>I16+I18</f>
        <v>158</v>
      </c>
      <c r="J15" s="60">
        <f>J16+J18</f>
        <v>63</v>
      </c>
      <c r="K15" s="60">
        <f>K16+K18</f>
        <v>28</v>
      </c>
      <c r="L15" s="61">
        <f t="shared" si="1"/>
        <v>0.17721518987341772</v>
      </c>
      <c r="M15" s="61">
        <f t="shared" si="3"/>
        <v>0.4444444444444444</v>
      </c>
      <c r="N15" s="60">
        <f>K15-'[2]Februaris'!K15</f>
        <v>16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s="65" customFormat="1" ht="12.75">
      <c r="A16" s="71" t="s">
        <v>122</v>
      </c>
      <c r="B16" s="72">
        <f>B17</f>
        <v>146740</v>
      </c>
      <c r="C16" s="72">
        <f>C17</f>
        <v>60171</v>
      </c>
      <c r="D16" s="72">
        <f>D17</f>
        <v>26402</v>
      </c>
      <c r="E16" s="59">
        <f t="shared" si="0"/>
        <v>0.17992367452637317</v>
      </c>
      <c r="F16" s="59">
        <f t="shared" si="2"/>
        <v>0.4387828023466454</v>
      </c>
      <c r="G16" s="50">
        <f>D16-'[2]Februaris'!D16</f>
        <v>15648</v>
      </c>
      <c r="H16" s="71" t="s">
        <v>122</v>
      </c>
      <c r="I16" s="72">
        <f>I17</f>
        <v>147</v>
      </c>
      <c r="J16" s="72">
        <f>J17</f>
        <v>60</v>
      </c>
      <c r="K16" s="72">
        <f>K17</f>
        <v>26</v>
      </c>
      <c r="L16" s="73">
        <f t="shared" si="1"/>
        <v>0.17687074829931973</v>
      </c>
      <c r="M16" s="73">
        <f t="shared" si="3"/>
        <v>0.43333333333333335</v>
      </c>
      <c r="N16" s="72">
        <f>K16-'[2]Februaris'!K16</f>
        <v>15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</row>
    <row r="17" spans="1:104" s="67" customFormat="1" ht="12.75">
      <c r="A17" s="74" t="s">
        <v>118</v>
      </c>
      <c r="B17" s="75">
        <v>146740</v>
      </c>
      <c r="C17" s="75">
        <v>60171</v>
      </c>
      <c r="D17" s="75">
        <v>26402</v>
      </c>
      <c r="E17" s="59">
        <f t="shared" si="0"/>
        <v>0.17992367452637317</v>
      </c>
      <c r="F17" s="59">
        <f t="shared" si="2"/>
        <v>0.4387828023466454</v>
      </c>
      <c r="G17" s="50">
        <f>D17-'[2]Februaris'!D17</f>
        <v>15648</v>
      </c>
      <c r="H17" s="74" t="s">
        <v>118</v>
      </c>
      <c r="I17" s="75">
        <f>ROUND(B17/1000,0)</f>
        <v>147</v>
      </c>
      <c r="J17" s="75">
        <f>ROUND(C17/1000,0)</f>
        <v>60</v>
      </c>
      <c r="K17" s="75">
        <f>ROUND(D17/1000,0)</f>
        <v>26</v>
      </c>
      <c r="L17" s="76">
        <f t="shared" si="1"/>
        <v>0.17687074829931973</v>
      </c>
      <c r="M17" s="76">
        <f t="shared" si="3"/>
        <v>0.43333333333333335</v>
      </c>
      <c r="N17" s="75">
        <f>K17-'[2]Februaris'!K17</f>
        <v>15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65" customFormat="1" ht="12.75">
      <c r="A18" s="71" t="s">
        <v>123</v>
      </c>
      <c r="B18" s="72">
        <f>B19</f>
        <v>11387</v>
      </c>
      <c r="C18" s="72">
        <f>C19</f>
        <v>2847</v>
      </c>
      <c r="D18" s="72">
        <f>D19</f>
        <v>1892</v>
      </c>
      <c r="E18" s="59">
        <f t="shared" si="0"/>
        <v>0.16615438658118908</v>
      </c>
      <c r="F18" s="59">
        <f t="shared" si="2"/>
        <v>0.6645591851071303</v>
      </c>
      <c r="G18" s="50">
        <f>D18-'[2]Februaris'!D18</f>
        <v>472</v>
      </c>
      <c r="H18" s="71" t="s">
        <v>123</v>
      </c>
      <c r="I18" s="72">
        <f>I19</f>
        <v>11</v>
      </c>
      <c r="J18" s="72">
        <f>J19</f>
        <v>3</v>
      </c>
      <c r="K18" s="72">
        <f>K19</f>
        <v>2</v>
      </c>
      <c r="L18" s="73">
        <f t="shared" si="1"/>
        <v>0.18181818181818182</v>
      </c>
      <c r="M18" s="73">
        <f t="shared" si="3"/>
        <v>0.6666666666666666</v>
      </c>
      <c r="N18" s="72">
        <f>K18-'[2]Februaris'!K18</f>
        <v>1</v>
      </c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</row>
    <row r="19" spans="1:104" s="67" customFormat="1" ht="12.75">
      <c r="A19" s="74" t="s">
        <v>118</v>
      </c>
      <c r="B19" s="75">
        <v>11387</v>
      </c>
      <c r="C19" s="75">
        <v>2847</v>
      </c>
      <c r="D19" s="75">
        <v>1892</v>
      </c>
      <c r="E19" s="59">
        <f t="shared" si="0"/>
        <v>0.16615438658118908</v>
      </c>
      <c r="F19" s="59">
        <f t="shared" si="2"/>
        <v>0.6645591851071303</v>
      </c>
      <c r="G19" s="50">
        <f>D19-'[2]Februaris'!D19</f>
        <v>472</v>
      </c>
      <c r="H19" s="74" t="s">
        <v>118</v>
      </c>
      <c r="I19" s="75">
        <f>ROUND(B19/1000,0)</f>
        <v>11</v>
      </c>
      <c r="J19" s="75">
        <f>ROUND(C19/1000,0)</f>
        <v>3</v>
      </c>
      <c r="K19" s="75">
        <f>ROUND(D19/1000,0)</f>
        <v>2</v>
      </c>
      <c r="L19" s="76">
        <f t="shared" si="1"/>
        <v>0.18181818181818182</v>
      </c>
      <c r="M19" s="76">
        <f t="shared" si="3"/>
        <v>0.6666666666666666</v>
      </c>
      <c r="N19" s="75">
        <f>K19-'[2]Februaris'!K19</f>
        <v>1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s="70" customFormat="1" ht="12.75">
      <c r="A20" s="68" t="s">
        <v>124</v>
      </c>
      <c r="B20" s="60">
        <f>B21+B24</f>
        <v>3204168</v>
      </c>
      <c r="C20" s="60">
        <f>C21+C24</f>
        <v>1358118</v>
      </c>
      <c r="D20" s="60">
        <f>D21+D24</f>
        <v>54855</v>
      </c>
      <c r="E20" s="69">
        <f t="shared" si="0"/>
        <v>0.017119888844779673</v>
      </c>
      <c r="F20" s="69">
        <f t="shared" si="2"/>
        <v>0.04039045208148335</v>
      </c>
      <c r="G20" s="50">
        <f>D20-'[2]Februaris'!D20</f>
        <v>26411</v>
      </c>
      <c r="H20" s="68" t="s">
        <v>124</v>
      </c>
      <c r="I20" s="60">
        <f>I21+I24</f>
        <v>3204</v>
      </c>
      <c r="J20" s="60">
        <f>J21+J24</f>
        <v>1358</v>
      </c>
      <c r="K20" s="60">
        <f>K21+K24</f>
        <v>54</v>
      </c>
      <c r="L20" s="61">
        <f t="shared" si="1"/>
        <v>0.016853932584269662</v>
      </c>
      <c r="M20" s="61">
        <f t="shared" si="3"/>
        <v>0.039764359351988215</v>
      </c>
      <c r="N20" s="60">
        <f>K20-'[2]Februaris'!K20</f>
        <v>26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s="65" customFormat="1" ht="12.75">
      <c r="A21" s="71" t="s">
        <v>122</v>
      </c>
      <c r="B21" s="72">
        <f>SUM(B22:B23)</f>
        <v>3144168</v>
      </c>
      <c r="C21" s="72">
        <f>SUM(C22:C23)</f>
        <v>1352118</v>
      </c>
      <c r="D21" s="72">
        <f>SUM(D22:D23)</f>
        <v>49216</v>
      </c>
      <c r="E21" s="59">
        <f t="shared" si="0"/>
        <v>0.015653107594759567</v>
      </c>
      <c r="F21" s="59">
        <f t="shared" si="2"/>
        <v>0.03639919001152266</v>
      </c>
      <c r="G21" s="50">
        <f>D21-'[2]Februaris'!D21</f>
        <v>20772</v>
      </c>
      <c r="H21" s="71" t="s">
        <v>122</v>
      </c>
      <c r="I21" s="72">
        <f>SUM(I22:I23)</f>
        <v>3144</v>
      </c>
      <c r="J21" s="72">
        <f>SUM(J22:J23)</f>
        <v>1352</v>
      </c>
      <c r="K21" s="72">
        <f>SUM(K22:K23)</f>
        <v>49</v>
      </c>
      <c r="L21" s="73">
        <f t="shared" si="1"/>
        <v>0.015585241730279899</v>
      </c>
      <c r="M21" s="73">
        <f t="shared" si="3"/>
        <v>0.036242603550295856</v>
      </c>
      <c r="N21" s="72">
        <f>K21-'[2]Februaris'!K21</f>
        <v>21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</row>
    <row r="22" spans="1:104" s="67" customFormat="1" ht="12.75">
      <c r="A22" s="74" t="s">
        <v>118</v>
      </c>
      <c r="B22" s="75">
        <v>1532168</v>
      </c>
      <c r="C22" s="75">
        <v>546118</v>
      </c>
      <c r="D22" s="75">
        <v>49216</v>
      </c>
      <c r="E22" s="59">
        <f t="shared" si="0"/>
        <v>0.03212180387529305</v>
      </c>
      <c r="F22" s="59">
        <f t="shared" si="2"/>
        <v>0.09011971771668394</v>
      </c>
      <c r="G22" s="50">
        <f>D22-'[2]Februaris'!D22</f>
        <v>20772</v>
      </c>
      <c r="H22" s="74" t="s">
        <v>118</v>
      </c>
      <c r="I22" s="75">
        <f aca="true" t="shared" si="4" ref="I22:K23">ROUND(B22/1000,0)</f>
        <v>1532</v>
      </c>
      <c r="J22" s="75">
        <f t="shared" si="4"/>
        <v>546</v>
      </c>
      <c r="K22" s="75">
        <f t="shared" si="4"/>
        <v>49</v>
      </c>
      <c r="L22" s="76">
        <f t="shared" si="1"/>
        <v>0.03198433420365535</v>
      </c>
      <c r="M22" s="76">
        <f t="shared" si="3"/>
        <v>0.08974358974358974</v>
      </c>
      <c r="N22" s="75">
        <f>K22-'[2]Februaris'!K22</f>
        <v>21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67" customFormat="1" ht="12.75">
      <c r="A23" s="74" t="s">
        <v>119</v>
      </c>
      <c r="B23" s="75">
        <v>1612000</v>
      </c>
      <c r="C23" s="75">
        <v>806000</v>
      </c>
      <c r="D23" s="75"/>
      <c r="E23" s="59">
        <f t="shared" si="0"/>
        <v>0</v>
      </c>
      <c r="F23" s="59">
        <f t="shared" si="2"/>
        <v>0</v>
      </c>
      <c r="G23" s="50">
        <f>D23-'[2]Februaris'!D23</f>
        <v>0</v>
      </c>
      <c r="H23" s="74" t="s">
        <v>119</v>
      </c>
      <c r="I23" s="75">
        <f t="shared" si="4"/>
        <v>1612</v>
      </c>
      <c r="J23" s="75">
        <f t="shared" si="4"/>
        <v>806</v>
      </c>
      <c r="K23" s="75">
        <f t="shared" si="4"/>
        <v>0</v>
      </c>
      <c r="L23" s="76">
        <f t="shared" si="1"/>
        <v>0</v>
      </c>
      <c r="M23" s="76"/>
      <c r="N23" s="75">
        <f>K23-'[2]Februaris'!K23</f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65" customFormat="1" ht="12.75">
      <c r="A24" s="71" t="s">
        <v>123</v>
      </c>
      <c r="B24" s="72">
        <f>B25</f>
        <v>60000</v>
      </c>
      <c r="C24" s="72">
        <f>C25</f>
        <v>6000</v>
      </c>
      <c r="D24" s="72">
        <f>D25</f>
        <v>5639</v>
      </c>
      <c r="E24" s="59">
        <f aca="true" t="shared" si="5" ref="E24:E87">IF(ISERROR(D24/B24)," ",(D24/B24))</f>
        <v>0.09398333333333334</v>
      </c>
      <c r="F24" s="59">
        <f t="shared" si="2"/>
        <v>0.9398333333333333</v>
      </c>
      <c r="G24" s="50">
        <f>D24-'[2]Februaris'!D24</f>
        <v>5639</v>
      </c>
      <c r="H24" s="71" t="s">
        <v>123</v>
      </c>
      <c r="I24" s="72">
        <f>I25</f>
        <v>60</v>
      </c>
      <c r="J24" s="72">
        <f>J25</f>
        <v>6</v>
      </c>
      <c r="K24" s="72">
        <f>K25</f>
        <v>5</v>
      </c>
      <c r="L24" s="73">
        <f t="shared" si="1"/>
        <v>0.08333333333333333</v>
      </c>
      <c r="M24" s="73">
        <f>IF(ISERROR(ROUND(K24,0)/ROUND(J24,0))," ",(ROUND(K24,)/ROUND(J24,)))</f>
        <v>0.8333333333333334</v>
      </c>
      <c r="N24" s="72">
        <f>K24-'[2]Februaris'!K24</f>
        <v>5</v>
      </c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</row>
    <row r="25" spans="1:104" s="67" customFormat="1" ht="12.75">
      <c r="A25" s="74" t="s">
        <v>118</v>
      </c>
      <c r="B25" s="75">
        <v>60000</v>
      </c>
      <c r="C25" s="75">
        <v>6000</v>
      </c>
      <c r="D25" s="75">
        <v>5639</v>
      </c>
      <c r="E25" s="59">
        <f t="shared" si="5"/>
        <v>0.09398333333333334</v>
      </c>
      <c r="F25" s="59">
        <f t="shared" si="2"/>
        <v>0.9398333333333333</v>
      </c>
      <c r="G25" s="50">
        <f>D25-'[2]Februaris'!D25</f>
        <v>5639</v>
      </c>
      <c r="H25" s="74" t="s">
        <v>118</v>
      </c>
      <c r="I25" s="75">
        <f>ROUND(B25/1000,0)</f>
        <v>60</v>
      </c>
      <c r="J25" s="75">
        <f>ROUND(C25/1000,0)</f>
        <v>6</v>
      </c>
      <c r="K25" s="75">
        <f>ROUND(D25/1000,0)-1</f>
        <v>5</v>
      </c>
      <c r="L25" s="76">
        <f t="shared" si="1"/>
        <v>0.08333333333333333</v>
      </c>
      <c r="M25" s="76">
        <f>IF(ISERROR(ROUND(K25,0)/ROUND(J25,0))," ",(ROUND(K25,)/ROUND(J25,)))</f>
        <v>0.8333333333333334</v>
      </c>
      <c r="N25" s="75">
        <f>K25-'[2]Februaris'!K25</f>
        <v>5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70" customFormat="1" ht="12.75">
      <c r="A26" s="68" t="s">
        <v>125</v>
      </c>
      <c r="B26" s="60">
        <f>B27+B30</f>
        <v>2477675</v>
      </c>
      <c r="C26" s="60">
        <f>C27+C30</f>
        <v>350742</v>
      </c>
      <c r="D26" s="60">
        <f>D27+D30</f>
        <v>150484</v>
      </c>
      <c r="E26" s="69">
        <f t="shared" si="5"/>
        <v>0.060735972232032046</v>
      </c>
      <c r="F26" s="69">
        <f t="shared" si="2"/>
        <v>0.4290447109271202</v>
      </c>
      <c r="G26" s="50">
        <f>D26-'[2]Februaris'!D26</f>
        <v>4343</v>
      </c>
      <c r="H26" s="68" t="s">
        <v>125</v>
      </c>
      <c r="I26" s="60">
        <f>I27+I30</f>
        <v>2478</v>
      </c>
      <c r="J26" s="60">
        <f>J27+J30</f>
        <v>351</v>
      </c>
      <c r="K26" s="60">
        <f>K27+K30</f>
        <v>150</v>
      </c>
      <c r="L26" s="61">
        <f t="shared" si="1"/>
        <v>0.06053268765133172</v>
      </c>
      <c r="M26" s="61">
        <f>IF(ISERROR(ROUND(K26,0)/ROUND(J26,0))," ",(ROUND(K26,)/ROUND(J26,)))</f>
        <v>0.42735042735042733</v>
      </c>
      <c r="N26" s="60">
        <f>K26-'[2]Februaris'!K26</f>
        <v>4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s="65" customFormat="1" ht="12.75">
      <c r="A27" s="71" t="s">
        <v>122</v>
      </c>
      <c r="B27" s="72">
        <f>SUM(B28:B29)</f>
        <v>2258675</v>
      </c>
      <c r="C27" s="72">
        <f>SUM(C28:C29)</f>
        <v>340992</v>
      </c>
      <c r="D27" s="72">
        <f>SUM(D28:D29)</f>
        <v>150484</v>
      </c>
      <c r="E27" s="59">
        <f t="shared" si="5"/>
        <v>0.06662490176762925</v>
      </c>
      <c r="F27" s="59">
        <f t="shared" si="2"/>
        <v>0.44131240615615613</v>
      </c>
      <c r="G27" s="50">
        <f>D27-'[2]Februaris'!D27</f>
        <v>4343</v>
      </c>
      <c r="H27" s="71" t="s">
        <v>122</v>
      </c>
      <c r="I27" s="72">
        <f>SUM(I28:I29)</f>
        <v>2259</v>
      </c>
      <c r="J27" s="72">
        <f>SUM(J28:J29)</f>
        <v>341</v>
      </c>
      <c r="K27" s="72">
        <f>SUM(K28:K29)</f>
        <v>150</v>
      </c>
      <c r="L27" s="73">
        <f t="shared" si="1"/>
        <v>0.06640106241699867</v>
      </c>
      <c r="M27" s="77">
        <f>IF(ISERROR(ROUND(K27,0)/ROUND(J27,0))," ",(ROUND(K27,)/ROUND(J27,)))</f>
        <v>0.4398826979472141</v>
      </c>
      <c r="N27" s="72">
        <f>K27-'[2]Februaris'!K27</f>
        <v>4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</row>
    <row r="28" spans="1:104" s="67" customFormat="1" ht="12.75">
      <c r="A28" s="74" t="s">
        <v>118</v>
      </c>
      <c r="B28" s="75">
        <v>1201775</v>
      </c>
      <c r="C28" s="75">
        <v>261792</v>
      </c>
      <c r="D28" s="75">
        <v>150484</v>
      </c>
      <c r="E28" s="59">
        <f t="shared" si="5"/>
        <v>0.1252181148717522</v>
      </c>
      <c r="F28" s="59">
        <f t="shared" si="2"/>
        <v>0.5748227600537832</v>
      </c>
      <c r="G28" s="50">
        <f>D28-'[2]Februaris'!D28</f>
        <v>4343</v>
      </c>
      <c r="H28" s="74" t="s">
        <v>118</v>
      </c>
      <c r="I28" s="75">
        <f aca="true" t="shared" si="6" ref="I28:K29">ROUND(B28/1000,0)</f>
        <v>1202</v>
      </c>
      <c r="J28" s="75">
        <f t="shared" si="6"/>
        <v>262</v>
      </c>
      <c r="K28" s="75">
        <f t="shared" si="6"/>
        <v>150</v>
      </c>
      <c r="L28" s="76">
        <f t="shared" si="1"/>
        <v>0.12479201331114809</v>
      </c>
      <c r="M28" s="78">
        <f>IF(ISERROR(ROUND(K28,0)/ROUND(J28,0))," ",(ROUND(K28,)/ROUND(J28,)))</f>
        <v>0.5725190839694656</v>
      </c>
      <c r="N28" s="75">
        <f>K28-'[2]Februaris'!K28</f>
        <v>4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67" customFormat="1" ht="12.75">
      <c r="A29" s="74" t="s">
        <v>119</v>
      </c>
      <c r="B29" s="75">
        <v>1056900</v>
      </c>
      <c r="C29" s="75">
        <v>79200</v>
      </c>
      <c r="D29" s="75"/>
      <c r="E29" s="59">
        <f t="shared" si="5"/>
        <v>0</v>
      </c>
      <c r="F29" s="59">
        <f t="shared" si="2"/>
        <v>0</v>
      </c>
      <c r="G29" s="50">
        <f>D29-'[2]Februaris'!D29</f>
        <v>0</v>
      </c>
      <c r="H29" s="74" t="s">
        <v>119</v>
      </c>
      <c r="I29" s="75">
        <f t="shared" si="6"/>
        <v>1057</v>
      </c>
      <c r="J29" s="75">
        <f t="shared" si="6"/>
        <v>79</v>
      </c>
      <c r="K29" s="75">
        <f t="shared" si="6"/>
        <v>0</v>
      </c>
      <c r="L29" s="76">
        <f t="shared" si="1"/>
        <v>0</v>
      </c>
      <c r="M29" s="78"/>
      <c r="N29" s="75">
        <f>K29-'[2]Februaris'!K29</f>
        <v>0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65" customFormat="1" ht="12.75">
      <c r="A30" s="71" t="s">
        <v>123</v>
      </c>
      <c r="B30" s="72">
        <f>SUM(B31:B32)</f>
        <v>219000</v>
      </c>
      <c r="C30" s="72">
        <f>SUM(C31:C32)</f>
        <v>9750</v>
      </c>
      <c r="D30" s="72">
        <f>SUM(D31:D32)</f>
        <v>0</v>
      </c>
      <c r="E30" s="59">
        <f t="shared" si="5"/>
        <v>0</v>
      </c>
      <c r="F30" s="59">
        <f t="shared" si="2"/>
        <v>0</v>
      </c>
      <c r="G30" s="50">
        <f>D30-'[2]Februaris'!D30</f>
        <v>0</v>
      </c>
      <c r="H30" s="71" t="s">
        <v>123</v>
      </c>
      <c r="I30" s="72">
        <f>SUM(I31:I32)</f>
        <v>219</v>
      </c>
      <c r="J30" s="72">
        <f>SUM(J31:J32)</f>
        <v>10</v>
      </c>
      <c r="K30" s="72">
        <f>SUM(K31:K32)</f>
        <v>0</v>
      </c>
      <c r="L30" s="73">
        <f t="shared" si="1"/>
        <v>0</v>
      </c>
      <c r="M30" s="78"/>
      <c r="N30" s="72">
        <f>K30-'[2]Februaris'!K30</f>
        <v>0</v>
      </c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</row>
    <row r="31" spans="1:104" s="67" customFormat="1" ht="12.75">
      <c r="A31" s="74" t="s">
        <v>118</v>
      </c>
      <c r="B31" s="75">
        <v>39000</v>
      </c>
      <c r="C31" s="75">
        <v>9750</v>
      </c>
      <c r="D31" s="75"/>
      <c r="E31" s="59">
        <f t="shared" si="5"/>
        <v>0</v>
      </c>
      <c r="F31" s="59">
        <f t="shared" si="2"/>
        <v>0</v>
      </c>
      <c r="G31" s="50">
        <f>D31-'[2]Februaris'!D31</f>
        <v>0</v>
      </c>
      <c r="H31" s="74" t="s">
        <v>118</v>
      </c>
      <c r="I31" s="75">
        <f aca="true" t="shared" si="7" ref="I31:K32">ROUND(B31/1000,0)</f>
        <v>39</v>
      </c>
      <c r="J31" s="75">
        <f t="shared" si="7"/>
        <v>10</v>
      </c>
      <c r="K31" s="75">
        <f t="shared" si="7"/>
        <v>0</v>
      </c>
      <c r="L31" s="76">
        <f t="shared" si="1"/>
        <v>0</v>
      </c>
      <c r="M31" s="78"/>
      <c r="N31" s="75">
        <f>K31-'[2]Februaris'!K31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67" customFormat="1" ht="12.75">
      <c r="A32" s="74" t="s">
        <v>119</v>
      </c>
      <c r="B32" s="75">
        <v>180000</v>
      </c>
      <c r="C32" s="75">
        <v>0</v>
      </c>
      <c r="D32" s="75"/>
      <c r="E32" s="59">
        <f t="shared" si="5"/>
        <v>0</v>
      </c>
      <c r="F32" s="59" t="str">
        <f t="shared" si="2"/>
        <v> </v>
      </c>
      <c r="G32" s="50">
        <f>D32-'[2]Februaris'!D32</f>
        <v>0</v>
      </c>
      <c r="H32" s="74" t="s">
        <v>119</v>
      </c>
      <c r="I32" s="75">
        <f t="shared" si="7"/>
        <v>180</v>
      </c>
      <c r="J32" s="75">
        <f t="shared" si="7"/>
        <v>0</v>
      </c>
      <c r="K32" s="75">
        <f t="shared" si="7"/>
        <v>0</v>
      </c>
      <c r="L32" s="76">
        <f t="shared" si="1"/>
        <v>0</v>
      </c>
      <c r="M32" s="78" t="str">
        <f>IF(ISERROR(ROUND(K32,0)/ROUND(J32,0))," ",(ROUND(K32,)/ROUND(J32,)))</f>
        <v> </v>
      </c>
      <c r="N32" s="75">
        <f>K32-'[2]Februaris'!K32</f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70" customFormat="1" ht="12.75">
      <c r="A33" s="68" t="s">
        <v>126</v>
      </c>
      <c r="B33" s="60">
        <f>B34+B37</f>
        <v>2944018</v>
      </c>
      <c r="C33" s="60">
        <f>C34+C37</f>
        <v>177764</v>
      </c>
      <c r="D33" s="60">
        <f>D34+D37</f>
        <v>14298</v>
      </c>
      <c r="E33" s="69">
        <f t="shared" si="5"/>
        <v>0.004856627914639109</v>
      </c>
      <c r="F33" s="69">
        <f t="shared" si="2"/>
        <v>0.0804324835174726</v>
      </c>
      <c r="G33" s="50">
        <f>D33-'[2]Februaris'!D33</f>
        <v>2071</v>
      </c>
      <c r="H33" s="68" t="s">
        <v>126</v>
      </c>
      <c r="I33" s="60">
        <f>I34+I37</f>
        <v>2944</v>
      </c>
      <c r="J33" s="60">
        <f>J34+J37</f>
        <v>177</v>
      </c>
      <c r="K33" s="60">
        <f>K34+K37</f>
        <v>14</v>
      </c>
      <c r="L33" s="61">
        <f>IF(ISERROR(ROUND(K33,0)/ROUND(I33,0))," ",(ROUND(K33,)/ROUND(I33,)))</f>
        <v>0.004755434782608696</v>
      </c>
      <c r="M33" s="61">
        <f>IF(ISERROR(ROUND(K33,0)/ROUND(J33,0))," ",(ROUND(K33,)/ROUND(J33,)))</f>
        <v>0.07909604519774012</v>
      </c>
      <c r="N33" s="60">
        <f>K33-'[2]Februaris'!K33</f>
        <v>2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 s="65" customFormat="1" ht="12.75">
      <c r="A34" s="71" t="s">
        <v>122</v>
      </c>
      <c r="B34" s="72">
        <f>SUM(B35:B36)</f>
        <v>2421983</v>
      </c>
      <c r="C34" s="72">
        <f>SUM(C35:C36)</f>
        <v>167427</v>
      </c>
      <c r="D34" s="72">
        <f>SUM(D35:D36)</f>
        <v>10086</v>
      </c>
      <c r="E34" s="59">
        <f t="shared" si="5"/>
        <v>0.0041643562320627355</v>
      </c>
      <c r="F34" s="59">
        <f t="shared" si="2"/>
        <v>0.06024117973803508</v>
      </c>
      <c r="G34" s="50">
        <f>D34-'[2]Februaris'!D34</f>
        <v>0</v>
      </c>
      <c r="H34" s="71" t="s">
        <v>122</v>
      </c>
      <c r="I34" s="72">
        <f>SUM(I35:I36)</f>
        <v>2422</v>
      </c>
      <c r="J34" s="72">
        <f>SUM(J35:J36)</f>
        <v>167</v>
      </c>
      <c r="K34" s="72">
        <f>SUM(K35:K36)</f>
        <v>10</v>
      </c>
      <c r="L34" s="73">
        <f>IF(ISERROR(ROUND(K34,0)/ROUND(I34,0))," ",(ROUND(K34,)/ROUND(I34,)))</f>
        <v>0.004128819157720892</v>
      </c>
      <c r="M34" s="73">
        <f>IF(ISERROR(ROUND(K34,0)/ROUND(J34,0))," ",(ROUND(K34,)/ROUND(J34,)))</f>
        <v>0.059880239520958084</v>
      </c>
      <c r="N34" s="72">
        <f>K34-'[2]Februaris'!K34</f>
        <v>0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</row>
    <row r="35" spans="1:104" s="67" customFormat="1" ht="12.75">
      <c r="A35" s="74" t="s">
        <v>118</v>
      </c>
      <c r="B35" s="75">
        <v>513003</v>
      </c>
      <c r="C35" s="75">
        <v>167427</v>
      </c>
      <c r="D35" s="75">
        <v>10086</v>
      </c>
      <c r="E35" s="59">
        <f t="shared" si="5"/>
        <v>0.019660703738574627</v>
      </c>
      <c r="F35" s="59">
        <f t="shared" si="2"/>
        <v>0.06024117973803508</v>
      </c>
      <c r="G35" s="50">
        <f>D35-'[2]Februaris'!D35</f>
        <v>0</v>
      </c>
      <c r="H35" s="74" t="s">
        <v>118</v>
      </c>
      <c r="I35" s="75">
        <f aca="true" t="shared" si="8" ref="I35:K36">ROUND(B35/1000,0)</f>
        <v>513</v>
      </c>
      <c r="J35" s="75">
        <f t="shared" si="8"/>
        <v>167</v>
      </c>
      <c r="K35" s="75">
        <f t="shared" si="8"/>
        <v>10</v>
      </c>
      <c r="L35" s="76">
        <f>IF(ISERROR(ROUND(K35,0)/ROUND(I35,0))," ",(ROUND(K35,)/ROUND(I35,)))</f>
        <v>0.01949317738791423</v>
      </c>
      <c r="M35" s="76">
        <f>IF(ISERROR(ROUND(K35,0)/ROUND(J35,0))," ",(ROUND(K35,)/ROUND(J35,)))</f>
        <v>0.059880239520958084</v>
      </c>
      <c r="N35" s="75">
        <f>K35-'[2]Februaris'!K35</f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67" customFormat="1" ht="12.75">
      <c r="A36" s="74" t="s">
        <v>119</v>
      </c>
      <c r="B36" s="75">
        <v>1908980</v>
      </c>
      <c r="C36" s="75"/>
      <c r="D36" s="75"/>
      <c r="E36" s="59">
        <f t="shared" si="5"/>
        <v>0</v>
      </c>
      <c r="F36" s="59" t="str">
        <f t="shared" si="2"/>
        <v> </v>
      </c>
      <c r="G36" s="50">
        <f>D36-'[2]Februaris'!D36</f>
        <v>0</v>
      </c>
      <c r="H36" s="74" t="s">
        <v>119</v>
      </c>
      <c r="I36" s="75">
        <f t="shared" si="8"/>
        <v>1909</v>
      </c>
      <c r="J36" s="75">
        <f t="shared" si="8"/>
        <v>0</v>
      </c>
      <c r="K36" s="75">
        <f t="shared" si="8"/>
        <v>0</v>
      </c>
      <c r="L36" s="76">
        <f>IF(ISERROR(ROUND(K36,0)/ROUND(I36,0))," ",(ROUND(K36,)/ROUND(I36,)))</f>
        <v>0</v>
      </c>
      <c r="M36" s="78"/>
      <c r="N36" s="75">
        <f>K36-'[2]Februaris'!K36</f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65" customFormat="1" ht="12.75">
      <c r="A37" s="71" t="s">
        <v>123</v>
      </c>
      <c r="B37" s="72">
        <f>SUM(B38:B39)</f>
        <v>522035</v>
      </c>
      <c r="C37" s="72">
        <f>SUM(C38:C39)</f>
        <v>10337</v>
      </c>
      <c r="D37" s="72">
        <f>SUM(D38:D39)</f>
        <v>4212</v>
      </c>
      <c r="E37" s="59">
        <f t="shared" si="5"/>
        <v>0.008068424530922257</v>
      </c>
      <c r="F37" s="59">
        <f t="shared" si="2"/>
        <v>0.4074683176937216</v>
      </c>
      <c r="G37" s="50">
        <f>D37-'[2]Februaris'!D37</f>
        <v>2071</v>
      </c>
      <c r="H37" s="71" t="s">
        <v>123</v>
      </c>
      <c r="I37" s="72">
        <f>SUM(I38:I39)</f>
        <v>522</v>
      </c>
      <c r="J37" s="72">
        <f>SUM(J38:J39)</f>
        <v>10</v>
      </c>
      <c r="K37" s="72">
        <f>SUM(K38:K39)</f>
        <v>4</v>
      </c>
      <c r="L37" s="73">
        <f>IF(ISERROR(ROUND(K37,0)/ROUND(I37,0))," ",(ROUND(K37,)/ROUND(I37,)))</f>
        <v>0.007662835249042145</v>
      </c>
      <c r="M37" s="77">
        <f>IF(ISERROR(ROUND(K37,0)/ROUND(J37,0))," ",(ROUND(K37,)/ROUND(J37,)))</f>
        <v>0.4</v>
      </c>
      <c r="N37" s="72">
        <f>K37-'[2]Februaris'!K37</f>
        <v>2</v>
      </c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</row>
    <row r="38" spans="1:104" s="67" customFormat="1" ht="12.75">
      <c r="A38" s="74" t="s">
        <v>118</v>
      </c>
      <c r="B38" s="75">
        <v>44790</v>
      </c>
      <c r="C38" s="75">
        <v>10337</v>
      </c>
      <c r="D38" s="75">
        <v>4212</v>
      </c>
      <c r="E38" s="59">
        <f t="shared" si="5"/>
        <v>0.09403884795713328</v>
      </c>
      <c r="F38" s="59">
        <f t="shared" si="2"/>
        <v>0.4074683176937216</v>
      </c>
      <c r="G38" s="50">
        <f>D38-'[2]Februaris'!D38</f>
        <v>2071</v>
      </c>
      <c r="H38" s="74" t="s">
        <v>118</v>
      </c>
      <c r="I38" s="75">
        <f aca="true" t="shared" si="9" ref="I38:K39">ROUND(B38/1000,0)</f>
        <v>45</v>
      </c>
      <c r="J38" s="75">
        <f t="shared" si="9"/>
        <v>10</v>
      </c>
      <c r="K38" s="75">
        <f t="shared" si="9"/>
        <v>4</v>
      </c>
      <c r="L38" s="76">
        <f aca="true" t="shared" si="10" ref="L38:L95">IF(ISERROR(ROUND(K38,0)/ROUND(I38,0))," ",(ROUND(K38,)/ROUND(I38,)))</f>
        <v>0.08888888888888889</v>
      </c>
      <c r="M38" s="78">
        <f>IF(ISERROR(ROUND(K38,0)/ROUND(J38,0))," ",(ROUND(K38,)/ROUND(J38,)))</f>
        <v>0.4</v>
      </c>
      <c r="N38" s="75">
        <f>K38-'[2]Februaris'!K38</f>
        <v>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67" customFormat="1" ht="12.75">
      <c r="A39" s="74" t="s">
        <v>119</v>
      </c>
      <c r="B39" s="75">
        <v>477245</v>
      </c>
      <c r="C39" s="75">
        <v>0</v>
      </c>
      <c r="D39" s="75">
        <v>0</v>
      </c>
      <c r="E39" s="59">
        <f t="shared" si="5"/>
        <v>0</v>
      </c>
      <c r="F39" s="59" t="str">
        <f t="shared" si="2"/>
        <v> </v>
      </c>
      <c r="G39" s="50">
        <f>D39-'[2]Februaris'!D39</f>
        <v>0</v>
      </c>
      <c r="H39" s="74" t="s">
        <v>119</v>
      </c>
      <c r="I39" s="75">
        <f t="shared" si="9"/>
        <v>477</v>
      </c>
      <c r="J39" s="75">
        <f t="shared" si="9"/>
        <v>0</v>
      </c>
      <c r="K39" s="75">
        <f t="shared" si="9"/>
        <v>0</v>
      </c>
      <c r="L39" s="76">
        <f t="shared" si="10"/>
        <v>0</v>
      </c>
      <c r="M39" s="78" t="str">
        <f aca="true" t="shared" si="11" ref="M39:M47">IF(ISERROR(ROUND(K39,0)/ROUND(J39,0))," ",(ROUND(K39,)/ROUND(J39,)))</f>
        <v> </v>
      </c>
      <c r="N39" s="75">
        <f>K39-'[2]Februaris'!K39</f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70" customFormat="1" ht="12.75" customHeight="1">
      <c r="A40" s="79" t="s">
        <v>127</v>
      </c>
      <c r="B40" s="60">
        <f>B41+B43</f>
        <v>1822420</v>
      </c>
      <c r="C40" s="60">
        <f>C41+C43</f>
        <v>1267014</v>
      </c>
      <c r="D40" s="60">
        <f>D41+D43</f>
        <v>515964</v>
      </c>
      <c r="E40" s="69">
        <f t="shared" si="5"/>
        <v>0.2831202467049308</v>
      </c>
      <c r="F40" s="69">
        <f t="shared" si="2"/>
        <v>0.40722833370428424</v>
      </c>
      <c r="G40" s="50">
        <f>D40-'[2]Februaris'!D40</f>
        <v>12019</v>
      </c>
      <c r="H40" s="79" t="s">
        <v>127</v>
      </c>
      <c r="I40" s="60">
        <f>I41+I43</f>
        <v>1822</v>
      </c>
      <c r="J40" s="60">
        <f>J41+J43</f>
        <v>1267</v>
      </c>
      <c r="K40" s="60">
        <f>K41+K43</f>
        <v>516</v>
      </c>
      <c r="L40" s="61">
        <f t="shared" si="10"/>
        <v>0.283205268935236</v>
      </c>
      <c r="M40" s="61">
        <f t="shared" si="11"/>
        <v>0.40726124704025257</v>
      </c>
      <c r="N40" s="60">
        <f>K40-'[2]Februaris'!K40</f>
        <v>12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</row>
    <row r="41" spans="1:104" s="65" customFormat="1" ht="12.75" customHeight="1">
      <c r="A41" s="71" t="s">
        <v>122</v>
      </c>
      <c r="B41" s="72">
        <f>SUM(B42:B42)</f>
        <v>1327420</v>
      </c>
      <c r="C41" s="72">
        <f>SUM(C42:C42)</f>
        <v>833380</v>
      </c>
      <c r="D41" s="72">
        <f>SUM(D42:D42)</f>
        <v>129216</v>
      </c>
      <c r="E41" s="59">
        <f t="shared" si="5"/>
        <v>0.09734371939551913</v>
      </c>
      <c r="F41" s="59">
        <f t="shared" si="2"/>
        <v>0.15505051717103843</v>
      </c>
      <c r="G41" s="50">
        <f>D41-'[2]Februaris'!D41</f>
        <v>5087</v>
      </c>
      <c r="H41" s="71" t="s">
        <v>122</v>
      </c>
      <c r="I41" s="72">
        <f>I42</f>
        <v>1327</v>
      </c>
      <c r="J41" s="72">
        <f>J42</f>
        <v>833</v>
      </c>
      <c r="K41" s="72">
        <f>K42</f>
        <v>129</v>
      </c>
      <c r="L41" s="73">
        <f t="shared" si="10"/>
        <v>0.09721175584024115</v>
      </c>
      <c r="M41" s="73">
        <f t="shared" si="11"/>
        <v>0.15486194477791115</v>
      </c>
      <c r="N41" s="72">
        <f>K41-'[2]Februaris'!K41</f>
        <v>5</v>
      </c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</row>
    <row r="42" spans="1:104" s="67" customFormat="1" ht="12.75">
      <c r="A42" s="74" t="s">
        <v>118</v>
      </c>
      <c r="B42" s="75">
        <v>1327420</v>
      </c>
      <c r="C42" s="75">
        <v>833380</v>
      </c>
      <c r="D42" s="75">
        <v>129216</v>
      </c>
      <c r="E42" s="59">
        <f t="shared" si="5"/>
        <v>0.09734371939551913</v>
      </c>
      <c r="F42" s="59">
        <f t="shared" si="2"/>
        <v>0.15505051717103843</v>
      </c>
      <c r="G42" s="50">
        <f>D42-'[2]Februaris'!D42</f>
        <v>5087</v>
      </c>
      <c r="H42" s="74" t="s">
        <v>118</v>
      </c>
      <c r="I42" s="75">
        <f>ROUND(B42/1000,0)</f>
        <v>1327</v>
      </c>
      <c r="J42" s="75">
        <f>ROUND(C42/1000,0)</f>
        <v>833</v>
      </c>
      <c r="K42" s="75">
        <f>ROUND(D42/1000,0)</f>
        <v>129</v>
      </c>
      <c r="L42" s="76">
        <f t="shared" si="10"/>
        <v>0.09721175584024115</v>
      </c>
      <c r="M42" s="76">
        <f t="shared" si="11"/>
        <v>0.15486194477791115</v>
      </c>
      <c r="N42" s="75">
        <f>K42-'[2]Februaris'!K42</f>
        <v>5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80" customFormat="1" ht="12.75">
      <c r="A43" s="71" t="s">
        <v>123</v>
      </c>
      <c r="B43" s="72">
        <f>B44</f>
        <v>495000</v>
      </c>
      <c r="C43" s="72">
        <f>C44</f>
        <v>433634</v>
      </c>
      <c r="D43" s="72">
        <f>D44</f>
        <v>386748</v>
      </c>
      <c r="E43" s="59">
        <f t="shared" si="5"/>
        <v>0.781309090909091</v>
      </c>
      <c r="F43" s="59">
        <f t="shared" si="2"/>
        <v>0.8918765594948735</v>
      </c>
      <c r="G43" s="50">
        <f>D43-'[2]Februaris'!D43</f>
        <v>6932</v>
      </c>
      <c r="H43" s="71" t="s">
        <v>123</v>
      </c>
      <c r="I43" s="72">
        <f>I44</f>
        <v>495</v>
      </c>
      <c r="J43" s="72">
        <f>J44</f>
        <v>434</v>
      </c>
      <c r="K43" s="72">
        <f>K44</f>
        <v>387</v>
      </c>
      <c r="L43" s="73">
        <f t="shared" si="10"/>
        <v>0.7818181818181819</v>
      </c>
      <c r="M43" s="73">
        <f t="shared" si="11"/>
        <v>0.8917050691244239</v>
      </c>
      <c r="N43" s="72">
        <f>K43-'[2]Februaris'!K43</f>
        <v>7</v>
      </c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</row>
    <row r="44" spans="1:104" s="81" customFormat="1" ht="12.75">
      <c r="A44" s="74" t="s">
        <v>118</v>
      </c>
      <c r="B44" s="75">
        <v>495000</v>
      </c>
      <c r="C44" s="75">
        <v>433634</v>
      </c>
      <c r="D44" s="75">
        <v>386748</v>
      </c>
      <c r="E44" s="59">
        <f t="shared" si="5"/>
        <v>0.781309090909091</v>
      </c>
      <c r="F44" s="59">
        <f t="shared" si="2"/>
        <v>0.8918765594948735</v>
      </c>
      <c r="G44" s="50">
        <f>D44-'[2]Februaris'!D44</f>
        <v>6932</v>
      </c>
      <c r="H44" s="74" t="s">
        <v>118</v>
      </c>
      <c r="I44" s="75">
        <f>ROUND(B44/1000,0)</f>
        <v>495</v>
      </c>
      <c r="J44" s="75">
        <f>ROUND(C44/1000,0)</f>
        <v>434</v>
      </c>
      <c r="K44" s="75">
        <f>ROUND(D44/1000,0)</f>
        <v>387</v>
      </c>
      <c r="L44" s="76">
        <f t="shared" si="10"/>
        <v>0.7818181818181819</v>
      </c>
      <c r="M44" s="76">
        <f t="shared" si="11"/>
        <v>0.8917050691244239</v>
      </c>
      <c r="N44" s="75">
        <f>K44-'[2]Februaris'!K44</f>
        <v>7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4" s="2" customFormat="1" ht="12.75">
      <c r="A45" s="68" t="s">
        <v>128</v>
      </c>
      <c r="B45" s="82">
        <f>B46+B49</f>
        <v>20232297</v>
      </c>
      <c r="C45" s="82">
        <f>C46+C49</f>
        <v>538335</v>
      </c>
      <c r="D45" s="82">
        <f>D46+D49</f>
        <v>192643</v>
      </c>
      <c r="E45" s="69">
        <f t="shared" si="5"/>
        <v>0.009521558525954814</v>
      </c>
      <c r="F45" s="69">
        <f t="shared" si="2"/>
        <v>0.35784966610010494</v>
      </c>
      <c r="G45" s="50">
        <f>D45-'[2]Februaris'!D45</f>
        <v>46463</v>
      </c>
      <c r="H45" s="68" t="s">
        <v>128</v>
      </c>
      <c r="I45" s="60">
        <f>I46+I49</f>
        <v>20231</v>
      </c>
      <c r="J45" s="60">
        <f>J46+J49</f>
        <v>538</v>
      </c>
      <c r="K45" s="60">
        <f>K46+K49</f>
        <v>193</v>
      </c>
      <c r="L45" s="61">
        <f t="shared" si="10"/>
        <v>0.009539815135188572</v>
      </c>
      <c r="M45" s="61">
        <f t="shared" si="11"/>
        <v>0.3587360594795539</v>
      </c>
      <c r="N45" s="60">
        <f>K45-'[2]Februaris'!K45</f>
        <v>47</v>
      </c>
    </row>
    <row r="46" spans="1:14" s="64" customFormat="1" ht="12.75">
      <c r="A46" s="71" t="s">
        <v>122</v>
      </c>
      <c r="B46" s="72">
        <f>SUM(B47:B48)</f>
        <v>15652677</v>
      </c>
      <c r="C46" s="72">
        <f>SUM(C47:C48)</f>
        <v>428835</v>
      </c>
      <c r="D46" s="72">
        <f>SUM(D47:D48)</f>
        <v>112018</v>
      </c>
      <c r="E46" s="59">
        <f t="shared" si="5"/>
        <v>0.007156475534504417</v>
      </c>
      <c r="F46" s="59">
        <f t="shared" si="2"/>
        <v>0.26121468630125805</v>
      </c>
      <c r="G46" s="50">
        <f>D46-'[2]Februaris'!D46</f>
        <v>6887</v>
      </c>
      <c r="H46" s="71" t="s">
        <v>122</v>
      </c>
      <c r="I46" s="72">
        <f>SUM(I47:I48)</f>
        <v>15652</v>
      </c>
      <c r="J46" s="72">
        <f>SUM(J47:J48)</f>
        <v>429</v>
      </c>
      <c r="K46" s="72">
        <f>SUM(K47:K48)</f>
        <v>112</v>
      </c>
      <c r="L46" s="73">
        <f t="shared" si="10"/>
        <v>0.007155635062611807</v>
      </c>
      <c r="M46" s="73">
        <f t="shared" si="11"/>
        <v>0.26107226107226106</v>
      </c>
      <c r="N46" s="72">
        <f>K46-'[2]Februaris'!K46</f>
        <v>7</v>
      </c>
    </row>
    <row r="47" spans="1:14" ht="12.75">
      <c r="A47" s="74" t="s">
        <v>118</v>
      </c>
      <c r="B47" s="75">
        <v>14120267</v>
      </c>
      <c r="C47" s="75">
        <v>124785</v>
      </c>
      <c r="D47" s="75">
        <v>112018</v>
      </c>
      <c r="E47" s="59">
        <f t="shared" si="5"/>
        <v>0.007933136108545256</v>
      </c>
      <c r="F47" s="59">
        <f t="shared" si="2"/>
        <v>0.8976880234002484</v>
      </c>
      <c r="G47" s="50">
        <f>D47-'[2]Februaris'!D47</f>
        <v>6887</v>
      </c>
      <c r="H47" s="74" t="s">
        <v>118</v>
      </c>
      <c r="I47" s="75">
        <f aca="true" t="shared" si="12" ref="I47:K48">ROUND(B47/1000,0)</f>
        <v>14120</v>
      </c>
      <c r="J47" s="75">
        <f t="shared" si="12"/>
        <v>125</v>
      </c>
      <c r="K47" s="75">
        <f t="shared" si="12"/>
        <v>112</v>
      </c>
      <c r="L47" s="76">
        <f t="shared" si="10"/>
        <v>0.00793201133144476</v>
      </c>
      <c r="M47" s="76">
        <f t="shared" si="11"/>
        <v>0.896</v>
      </c>
      <c r="N47" s="75">
        <f>K47-'[2]Februaris'!K47</f>
        <v>7</v>
      </c>
    </row>
    <row r="48" spans="1:14" ht="12.75">
      <c r="A48" s="74" t="s">
        <v>119</v>
      </c>
      <c r="B48" s="75">
        <v>1532410</v>
      </c>
      <c r="C48" s="75">
        <v>304050</v>
      </c>
      <c r="D48" s="75"/>
      <c r="E48" s="59">
        <f t="shared" si="5"/>
        <v>0</v>
      </c>
      <c r="F48" s="59">
        <f t="shared" si="2"/>
        <v>0</v>
      </c>
      <c r="G48" s="50">
        <f>D48-'[2]Februaris'!D48</f>
        <v>0</v>
      </c>
      <c r="H48" s="74" t="s">
        <v>119</v>
      </c>
      <c r="I48" s="75">
        <f t="shared" si="12"/>
        <v>1532</v>
      </c>
      <c r="J48" s="75">
        <f t="shared" si="12"/>
        <v>304</v>
      </c>
      <c r="K48" s="75">
        <f t="shared" si="12"/>
        <v>0</v>
      </c>
      <c r="L48" s="76">
        <f t="shared" si="10"/>
        <v>0</v>
      </c>
      <c r="M48" s="78"/>
      <c r="N48" s="75">
        <f>K48-'[2]Februaris'!K48</f>
        <v>0</v>
      </c>
    </row>
    <row r="49" spans="1:14" s="64" customFormat="1" ht="12.75">
      <c r="A49" s="71" t="s">
        <v>123</v>
      </c>
      <c r="B49" s="72">
        <f>SUM(B50:B51)</f>
        <v>4579620</v>
      </c>
      <c r="C49" s="72">
        <f>SUM(C50:C51)</f>
        <v>109500</v>
      </c>
      <c r="D49" s="72">
        <f>SUM(D50:D51)</f>
        <v>80625</v>
      </c>
      <c r="E49" s="59">
        <f t="shared" si="5"/>
        <v>0.017605172481559607</v>
      </c>
      <c r="F49" s="59">
        <f t="shared" si="2"/>
        <v>0.7363013698630136</v>
      </c>
      <c r="G49" s="50">
        <f>D49-'[2]Februaris'!D49</f>
        <v>39576</v>
      </c>
      <c r="H49" s="71" t="s">
        <v>123</v>
      </c>
      <c r="I49" s="72">
        <f>SUM(I50:I51)</f>
        <v>4579</v>
      </c>
      <c r="J49" s="72">
        <f>SUM(J50:J51)</f>
        <v>109</v>
      </c>
      <c r="K49" s="72">
        <f>SUM(K50:K51)</f>
        <v>81</v>
      </c>
      <c r="L49" s="73">
        <f t="shared" si="10"/>
        <v>0.017689451845381086</v>
      </c>
      <c r="M49" s="77">
        <f>IF(ISERROR(ROUND(K49,0)/ROUND(J49,0))," ",(ROUND(K49,)/ROUND(J49,)))</f>
        <v>0.7431192660550459</v>
      </c>
      <c r="N49" s="72">
        <f>K49-'[2]Februaris'!K49</f>
        <v>40</v>
      </c>
    </row>
    <row r="50" spans="1:14" ht="12.75">
      <c r="A50" s="74" t="s">
        <v>118</v>
      </c>
      <c r="B50" s="75">
        <v>4475620</v>
      </c>
      <c r="C50" s="75">
        <v>21500</v>
      </c>
      <c r="D50" s="75">
        <v>11966</v>
      </c>
      <c r="E50" s="59">
        <f t="shared" si="5"/>
        <v>0.002673596060434085</v>
      </c>
      <c r="F50" s="59">
        <f t="shared" si="2"/>
        <v>0.5565581395348838</v>
      </c>
      <c r="G50" s="50">
        <f>D50-'[2]Februaris'!D50</f>
        <v>10839</v>
      </c>
      <c r="H50" s="74" t="s">
        <v>118</v>
      </c>
      <c r="I50" s="75">
        <f>ROUND(B50/1000,0)-1</f>
        <v>4475</v>
      </c>
      <c r="J50" s="75">
        <f>ROUND(C50/1000,0)-1</f>
        <v>21</v>
      </c>
      <c r="K50" s="75">
        <f>ROUND(D50/1000,0)</f>
        <v>12</v>
      </c>
      <c r="L50" s="76">
        <f t="shared" si="10"/>
        <v>0.002681564245810056</v>
      </c>
      <c r="M50" s="78">
        <f>IF(ISERROR(ROUND(K50,0)/ROUND(J50,0))," ",(ROUND(K50,)/ROUND(J50,)))</f>
        <v>0.5714285714285714</v>
      </c>
      <c r="N50" s="75">
        <f>K50-'[2]Februaris'!K50</f>
        <v>11</v>
      </c>
    </row>
    <row r="51" spans="1:14" ht="12.75">
      <c r="A51" s="74" t="s">
        <v>119</v>
      </c>
      <c r="B51" s="75">
        <v>104000</v>
      </c>
      <c r="C51" s="75">
        <v>88000</v>
      </c>
      <c r="D51" s="75">
        <v>68659</v>
      </c>
      <c r="E51" s="59">
        <f t="shared" si="5"/>
        <v>0.6601826923076923</v>
      </c>
      <c r="F51" s="59">
        <f t="shared" si="2"/>
        <v>0.7802159090909091</v>
      </c>
      <c r="G51" s="50">
        <f>D51-'[2]Februaris'!D51</f>
        <v>28737</v>
      </c>
      <c r="H51" s="74" t="s">
        <v>119</v>
      </c>
      <c r="I51" s="75">
        <f>ROUND(B51/1000,0)</f>
        <v>104</v>
      </c>
      <c r="J51" s="75">
        <f>ROUND(C51/1000,0)</f>
        <v>88</v>
      </c>
      <c r="K51" s="75">
        <f>ROUND(D51/1000,0)</f>
        <v>69</v>
      </c>
      <c r="L51" s="76">
        <f t="shared" si="10"/>
        <v>0.6634615384615384</v>
      </c>
      <c r="M51" s="78">
        <f>IF(ISERROR(ROUND(K51,0)/ROUND(J51,0))," ",(ROUND(K51,)/ROUND(J51,)))</f>
        <v>0.7840909090909091</v>
      </c>
      <c r="N51" s="75">
        <f>K51-'[2]Februaris'!K51</f>
        <v>29</v>
      </c>
    </row>
    <row r="52" spans="1:14" s="2" customFormat="1" ht="12.75" customHeight="1">
      <c r="A52" s="68" t="s">
        <v>129</v>
      </c>
      <c r="B52" s="82">
        <f>B53+B55</f>
        <v>1222000</v>
      </c>
      <c r="C52" s="82">
        <f>C53+C55</f>
        <v>260000</v>
      </c>
      <c r="D52" s="82">
        <f>D53+D55</f>
        <v>115820</v>
      </c>
      <c r="E52" s="69">
        <f t="shared" si="5"/>
        <v>0.09477905073649755</v>
      </c>
      <c r="F52" s="69">
        <f t="shared" si="2"/>
        <v>0.44546153846153846</v>
      </c>
      <c r="G52" s="50">
        <f>D52-'[2]Februaris'!D52</f>
        <v>1866</v>
      </c>
      <c r="H52" s="68" t="s">
        <v>129</v>
      </c>
      <c r="I52" s="60">
        <f>I53+I55</f>
        <v>1222</v>
      </c>
      <c r="J52" s="60">
        <f>J53+J55</f>
        <v>260</v>
      </c>
      <c r="K52" s="60">
        <f>K53+K55</f>
        <v>116</v>
      </c>
      <c r="L52" s="61">
        <f t="shared" si="10"/>
        <v>0.09492635024549918</v>
      </c>
      <c r="M52" s="62">
        <f>IF(ISERROR(ROUND(K52,0)/ROUND(J52,0))," ",(ROUND(K52,)/ROUND(J52,)))</f>
        <v>0.4461538461538462</v>
      </c>
      <c r="N52" s="60">
        <f>K52-'[2]Februaris'!K52</f>
        <v>2</v>
      </c>
    </row>
    <row r="53" spans="1:14" s="64" customFormat="1" ht="12.75" customHeight="1">
      <c r="A53" s="71" t="s">
        <v>122</v>
      </c>
      <c r="B53" s="72">
        <f>SUM(B54:B54)</f>
        <v>222000</v>
      </c>
      <c r="C53" s="72">
        <f>SUM(C54:C54)</f>
        <v>0</v>
      </c>
      <c r="D53" s="72">
        <f>SUM(D54:D54)</f>
        <v>0</v>
      </c>
      <c r="E53" s="59">
        <f t="shared" si="5"/>
        <v>0</v>
      </c>
      <c r="F53" s="59" t="str">
        <f t="shared" si="2"/>
        <v> </v>
      </c>
      <c r="G53" s="50">
        <f>D53-'[2]Februaris'!D53</f>
        <v>0</v>
      </c>
      <c r="H53" s="71" t="s">
        <v>122</v>
      </c>
      <c r="I53" s="72">
        <f>I54</f>
        <v>222</v>
      </c>
      <c r="J53" s="72">
        <f>J54</f>
        <v>0</v>
      </c>
      <c r="K53" s="72">
        <f>K54</f>
        <v>0</v>
      </c>
      <c r="L53" s="73">
        <f t="shared" si="10"/>
        <v>0</v>
      </c>
      <c r="M53" s="77"/>
      <c r="N53" s="72">
        <f>K53-'[2]Februaris'!K53</f>
        <v>0</v>
      </c>
    </row>
    <row r="54" spans="1:14" ht="12.75">
      <c r="A54" s="74" t="s">
        <v>119</v>
      </c>
      <c r="B54" s="75">
        <v>222000</v>
      </c>
      <c r="C54" s="75"/>
      <c r="D54" s="75"/>
      <c r="E54" s="59">
        <f t="shared" si="5"/>
        <v>0</v>
      </c>
      <c r="F54" s="59" t="str">
        <f t="shared" si="2"/>
        <v> </v>
      </c>
      <c r="G54" s="50">
        <f>D54-'[2]Februaris'!D54</f>
        <v>0</v>
      </c>
      <c r="H54" s="74" t="s">
        <v>119</v>
      </c>
      <c r="I54" s="75">
        <f>ROUND(B54/1000,0)</f>
        <v>222</v>
      </c>
      <c r="J54" s="75">
        <f>ROUND(C54/1000,0)</f>
        <v>0</v>
      </c>
      <c r="K54" s="75">
        <f>ROUND(D54/1000,0)</f>
        <v>0</v>
      </c>
      <c r="L54" s="76">
        <f t="shared" si="10"/>
        <v>0</v>
      </c>
      <c r="M54" s="78"/>
      <c r="N54" s="75">
        <f>K54-'[2]Februaris'!K54</f>
        <v>0</v>
      </c>
    </row>
    <row r="55" spans="1:14" s="64" customFormat="1" ht="12.75">
      <c r="A55" s="71" t="s">
        <v>123</v>
      </c>
      <c r="B55" s="72">
        <f>B56</f>
        <v>1000000</v>
      </c>
      <c r="C55" s="72">
        <f>C56</f>
        <v>260000</v>
      </c>
      <c r="D55" s="72">
        <f>D56</f>
        <v>115820</v>
      </c>
      <c r="E55" s="59">
        <f t="shared" si="5"/>
        <v>0.11582</v>
      </c>
      <c r="F55" s="59">
        <f t="shared" si="2"/>
        <v>0.44546153846153846</v>
      </c>
      <c r="G55" s="50">
        <f>D55-'[2]Februaris'!D55</f>
        <v>1866</v>
      </c>
      <c r="H55" s="71" t="s">
        <v>123</v>
      </c>
      <c r="I55" s="72">
        <f>I56</f>
        <v>1000</v>
      </c>
      <c r="J55" s="72">
        <f>J56</f>
        <v>260</v>
      </c>
      <c r="K55" s="72">
        <f>K56</f>
        <v>116</v>
      </c>
      <c r="L55" s="73">
        <f t="shared" si="10"/>
        <v>0.116</v>
      </c>
      <c r="M55" s="77">
        <f>IF(ISERROR(ROUND(K55,0)/ROUND(J55,0))," ",(ROUND(K55,)/ROUND(J55,)))</f>
        <v>0.4461538461538462</v>
      </c>
      <c r="N55" s="72">
        <f>K55-'[2]Februaris'!K55</f>
        <v>2</v>
      </c>
    </row>
    <row r="56" spans="1:14" ht="12.75">
      <c r="A56" s="74" t="s">
        <v>119</v>
      </c>
      <c r="B56" s="75">
        <v>1000000</v>
      </c>
      <c r="C56" s="75">
        <v>260000</v>
      </c>
      <c r="D56" s="75">
        <v>115820</v>
      </c>
      <c r="E56" s="59">
        <f t="shared" si="5"/>
        <v>0.11582</v>
      </c>
      <c r="F56" s="59">
        <f t="shared" si="2"/>
        <v>0.44546153846153846</v>
      </c>
      <c r="G56" s="50">
        <f>D56-'[2]Februaris'!D56</f>
        <v>1866</v>
      </c>
      <c r="H56" s="74" t="s">
        <v>119</v>
      </c>
      <c r="I56" s="75">
        <f>ROUND(B56/1000,0)</f>
        <v>1000</v>
      </c>
      <c r="J56" s="75">
        <f>ROUND(C56/1000,0)</f>
        <v>260</v>
      </c>
      <c r="K56" s="75">
        <f>ROUND(D56/1000,0)</f>
        <v>116</v>
      </c>
      <c r="L56" s="76">
        <f t="shared" si="10"/>
        <v>0.116</v>
      </c>
      <c r="M56" s="78">
        <f>IF(ISERROR(ROUND(K56,0)/ROUND(J56,0))," ",(ROUND(K56,)/ROUND(J56,)))</f>
        <v>0.4461538461538462</v>
      </c>
      <c r="N56" s="75">
        <f>K56-'[2]Februaris'!K56</f>
        <v>2</v>
      </c>
    </row>
    <row r="57" spans="1:14" s="2" customFormat="1" ht="12.75">
      <c r="A57" s="68" t="s">
        <v>130</v>
      </c>
      <c r="B57" s="82">
        <f>B58+B61</f>
        <v>1898720</v>
      </c>
      <c r="C57" s="82">
        <f>C58+C61</f>
        <v>5300</v>
      </c>
      <c r="D57" s="82">
        <f>D58+D61</f>
        <v>0</v>
      </c>
      <c r="E57" s="69">
        <f t="shared" si="5"/>
        <v>0</v>
      </c>
      <c r="F57" s="69">
        <f t="shared" si="2"/>
        <v>0</v>
      </c>
      <c r="G57" s="50">
        <f>D57-'[2]Februaris'!D57</f>
        <v>0</v>
      </c>
      <c r="H57" s="68" t="s">
        <v>130</v>
      </c>
      <c r="I57" s="60">
        <f>I58+I61</f>
        <v>1900</v>
      </c>
      <c r="J57" s="60">
        <f>J58+J61</f>
        <v>5</v>
      </c>
      <c r="K57" s="60">
        <f>K58+K61</f>
        <v>0</v>
      </c>
      <c r="L57" s="61">
        <f t="shared" si="10"/>
        <v>0</v>
      </c>
      <c r="M57" s="78"/>
      <c r="N57" s="60">
        <f>K57-'[2]Februaris'!K57</f>
        <v>0</v>
      </c>
    </row>
    <row r="58" spans="1:14" s="64" customFormat="1" ht="12.75">
      <c r="A58" s="71" t="s">
        <v>122</v>
      </c>
      <c r="B58" s="72">
        <f>SUM(B59:B60)</f>
        <v>1604180</v>
      </c>
      <c r="C58" s="72">
        <f>SUM(C59:C60)</f>
        <v>0</v>
      </c>
      <c r="D58" s="72">
        <f>SUM(D59:D60)</f>
        <v>0</v>
      </c>
      <c r="E58" s="59">
        <f t="shared" si="5"/>
        <v>0</v>
      </c>
      <c r="F58" s="59" t="str">
        <f t="shared" si="2"/>
        <v> </v>
      </c>
      <c r="G58" s="50">
        <f>D58-'[2]Februaris'!D58</f>
        <v>0</v>
      </c>
      <c r="H58" s="71" t="s">
        <v>122</v>
      </c>
      <c r="I58" s="72">
        <f>SUM(I59:I60)</f>
        <v>1605</v>
      </c>
      <c r="J58" s="72">
        <f>SUM(J59:J60)</f>
        <v>0</v>
      </c>
      <c r="K58" s="72">
        <f>SUM(K59:K60)</f>
        <v>0</v>
      </c>
      <c r="L58" s="73">
        <f t="shared" si="10"/>
        <v>0</v>
      </c>
      <c r="M58" s="78"/>
      <c r="N58" s="72">
        <f>K58-'[2]Februaris'!K58</f>
        <v>0</v>
      </c>
    </row>
    <row r="59" spans="1:14" ht="12.75">
      <c r="A59" s="74" t="s">
        <v>118</v>
      </c>
      <c r="B59" s="75">
        <v>1130660</v>
      </c>
      <c r="C59" s="75"/>
      <c r="D59" s="75"/>
      <c r="E59" s="59">
        <f t="shared" si="5"/>
        <v>0</v>
      </c>
      <c r="F59" s="59" t="str">
        <f t="shared" si="2"/>
        <v> </v>
      </c>
      <c r="G59" s="50">
        <f>D59-'[2]Februaris'!D59</f>
        <v>0</v>
      </c>
      <c r="H59" s="74" t="s">
        <v>118</v>
      </c>
      <c r="I59" s="75">
        <f aca="true" t="shared" si="13" ref="I59:K60">ROUND(B59/1000,0)</f>
        <v>1131</v>
      </c>
      <c r="J59" s="75">
        <f t="shared" si="13"/>
        <v>0</v>
      </c>
      <c r="K59" s="75">
        <f t="shared" si="13"/>
        <v>0</v>
      </c>
      <c r="L59" s="76">
        <f t="shared" si="10"/>
        <v>0</v>
      </c>
      <c r="M59" s="78"/>
      <c r="N59" s="75">
        <f>K59-'[2]Februaris'!K59</f>
        <v>0</v>
      </c>
    </row>
    <row r="60" spans="1:14" ht="12.75">
      <c r="A60" s="74" t="s">
        <v>119</v>
      </c>
      <c r="B60" s="75">
        <v>473520</v>
      </c>
      <c r="C60" s="75"/>
      <c r="D60" s="75"/>
      <c r="E60" s="59">
        <f t="shared" si="5"/>
        <v>0</v>
      </c>
      <c r="F60" s="59" t="str">
        <f t="shared" si="2"/>
        <v> </v>
      </c>
      <c r="G60" s="50">
        <f>D60-'[2]Februaris'!D60</f>
        <v>0</v>
      </c>
      <c r="H60" s="74" t="s">
        <v>119</v>
      </c>
      <c r="I60" s="75">
        <f t="shared" si="13"/>
        <v>474</v>
      </c>
      <c r="J60" s="75">
        <f t="shared" si="13"/>
        <v>0</v>
      </c>
      <c r="K60" s="75">
        <f t="shared" si="13"/>
        <v>0</v>
      </c>
      <c r="L60" s="76">
        <f t="shared" si="10"/>
        <v>0</v>
      </c>
      <c r="M60" s="78"/>
      <c r="N60" s="75">
        <f>K60-'[2]Februaris'!K60</f>
        <v>0</v>
      </c>
    </row>
    <row r="61" spans="1:14" s="64" customFormat="1" ht="12.75">
      <c r="A61" s="71" t="s">
        <v>123</v>
      </c>
      <c r="B61" s="72">
        <f>SUM(B62:B63)</f>
        <v>294540</v>
      </c>
      <c r="C61" s="72">
        <f>SUM(C62:C63)</f>
        <v>5300</v>
      </c>
      <c r="D61" s="72">
        <f>SUM(D62:D63)</f>
        <v>0</v>
      </c>
      <c r="E61" s="59">
        <f t="shared" si="5"/>
        <v>0</v>
      </c>
      <c r="F61" s="59">
        <f t="shared" si="2"/>
        <v>0</v>
      </c>
      <c r="G61" s="50">
        <f>D61-'[2]Februaris'!D61</f>
        <v>0</v>
      </c>
      <c r="H61" s="71" t="s">
        <v>123</v>
      </c>
      <c r="I61" s="72">
        <f>SUM(I62:I63)</f>
        <v>295</v>
      </c>
      <c r="J61" s="72">
        <f>SUM(J62:J63)</f>
        <v>5</v>
      </c>
      <c r="K61" s="72">
        <f>SUM(K62:K63)</f>
        <v>0</v>
      </c>
      <c r="L61" s="73">
        <f t="shared" si="10"/>
        <v>0</v>
      </c>
      <c r="M61" s="78"/>
      <c r="N61" s="72">
        <f>K61-'[2]Februaris'!K61</f>
        <v>0</v>
      </c>
    </row>
    <row r="62" spans="1:14" ht="12.75">
      <c r="A62" s="74" t="s">
        <v>118</v>
      </c>
      <c r="B62" s="75">
        <v>185510</v>
      </c>
      <c r="C62" s="75"/>
      <c r="D62" s="75"/>
      <c r="E62" s="59">
        <f t="shared" si="5"/>
        <v>0</v>
      </c>
      <c r="F62" s="59" t="str">
        <f t="shared" si="2"/>
        <v> </v>
      </c>
      <c r="G62" s="50">
        <f>D62-'[2]Februaris'!D62</f>
        <v>0</v>
      </c>
      <c r="H62" s="74" t="s">
        <v>118</v>
      </c>
      <c r="I62" s="75">
        <f aca="true" t="shared" si="14" ref="I62:K63">ROUND(B62/1000,0)</f>
        <v>186</v>
      </c>
      <c r="J62" s="75">
        <f t="shared" si="14"/>
        <v>0</v>
      </c>
      <c r="K62" s="75">
        <f t="shared" si="14"/>
        <v>0</v>
      </c>
      <c r="L62" s="76">
        <f t="shared" si="10"/>
        <v>0</v>
      </c>
      <c r="M62" s="78"/>
      <c r="N62" s="75">
        <f>K62-'[2]Februaris'!K62</f>
        <v>0</v>
      </c>
    </row>
    <row r="63" spans="1:14" ht="12.75">
      <c r="A63" s="74" t="s">
        <v>119</v>
      </c>
      <c r="B63" s="75">
        <v>109030</v>
      </c>
      <c r="C63" s="75">
        <v>5300</v>
      </c>
      <c r="D63" s="75"/>
      <c r="E63" s="59">
        <f t="shared" si="5"/>
        <v>0</v>
      </c>
      <c r="F63" s="59">
        <f t="shared" si="2"/>
        <v>0</v>
      </c>
      <c r="G63" s="50">
        <f>D63-'[2]Februaris'!D63</f>
        <v>0</v>
      </c>
      <c r="H63" s="74" t="s">
        <v>119</v>
      </c>
      <c r="I63" s="75">
        <f t="shared" si="14"/>
        <v>109</v>
      </c>
      <c r="J63" s="75">
        <f>ROUND(C63/1000,0)</f>
        <v>5</v>
      </c>
      <c r="K63" s="75">
        <f t="shared" si="14"/>
        <v>0</v>
      </c>
      <c r="L63" s="76">
        <f t="shared" si="10"/>
        <v>0</v>
      </c>
      <c r="M63" s="78"/>
      <c r="N63" s="75">
        <f>K63-'[2]Februaris'!K63</f>
        <v>0</v>
      </c>
    </row>
    <row r="64" spans="1:14" s="2" customFormat="1" ht="12.75">
      <c r="A64" s="68" t="s">
        <v>131</v>
      </c>
      <c r="B64" s="82">
        <f>B65+B68</f>
        <v>1063700</v>
      </c>
      <c r="C64" s="82">
        <f>C65+C68</f>
        <v>232113</v>
      </c>
      <c r="D64" s="82">
        <f>D65+D68</f>
        <v>95929</v>
      </c>
      <c r="E64" s="69">
        <f t="shared" si="5"/>
        <v>0.09018426248002256</v>
      </c>
      <c r="F64" s="69">
        <f t="shared" si="2"/>
        <v>0.4132857702929177</v>
      </c>
      <c r="G64" s="50">
        <f>D64-'[2]Februaris'!D64</f>
        <v>86889</v>
      </c>
      <c r="H64" s="68" t="s">
        <v>131</v>
      </c>
      <c r="I64" s="60">
        <f>I65+I68</f>
        <v>1064</v>
      </c>
      <c r="J64" s="60">
        <f>J65+J68</f>
        <v>233</v>
      </c>
      <c r="K64" s="60">
        <f>K65+K68</f>
        <v>96</v>
      </c>
      <c r="L64" s="61">
        <f t="shared" si="10"/>
        <v>0.09022556390977443</v>
      </c>
      <c r="M64" s="61">
        <f>IF(ISERROR(ROUND(K64,0)/ROUND(J64,0))," ",(ROUND(K64,)/ROUND(J64,)))</f>
        <v>0.41201716738197425</v>
      </c>
      <c r="N64" s="60">
        <f>K64-'[2]Februaris'!K64</f>
        <v>87</v>
      </c>
    </row>
    <row r="65" spans="1:14" s="64" customFormat="1" ht="12.75">
      <c r="A65" s="71" t="s">
        <v>122</v>
      </c>
      <c r="B65" s="72">
        <f>SUM(B66:B67)</f>
        <v>683000</v>
      </c>
      <c r="C65" s="72">
        <f>SUM(C66:C67)</f>
        <v>135500</v>
      </c>
      <c r="D65" s="72">
        <f>SUM(D66:D67)</f>
        <v>0</v>
      </c>
      <c r="E65" s="59">
        <f t="shared" si="5"/>
        <v>0</v>
      </c>
      <c r="F65" s="59">
        <f t="shared" si="2"/>
        <v>0</v>
      </c>
      <c r="G65" s="50">
        <f>D65-'[2]Februaris'!D65</f>
        <v>0</v>
      </c>
      <c r="H65" s="71" t="s">
        <v>122</v>
      </c>
      <c r="I65" s="72">
        <f>SUM(I66:I67)</f>
        <v>683</v>
      </c>
      <c r="J65" s="72">
        <f>SUM(J66:J67)</f>
        <v>136</v>
      </c>
      <c r="K65" s="72">
        <f>SUM(K66:K67)</f>
        <v>0</v>
      </c>
      <c r="L65" s="73">
        <f t="shared" si="10"/>
        <v>0</v>
      </c>
      <c r="M65" s="77"/>
      <c r="N65" s="72">
        <f>K65-'[2]Februaris'!K65</f>
        <v>0</v>
      </c>
    </row>
    <row r="66" spans="1:14" ht="12.75">
      <c r="A66" s="74" t="s">
        <v>118</v>
      </c>
      <c r="B66" s="75">
        <v>186000</v>
      </c>
      <c r="C66" s="75">
        <v>50500</v>
      </c>
      <c r="D66" s="75"/>
      <c r="E66" s="59">
        <f t="shared" si="5"/>
        <v>0</v>
      </c>
      <c r="F66" s="59">
        <f t="shared" si="2"/>
        <v>0</v>
      </c>
      <c r="G66" s="50">
        <f>D66-'[2]Februaris'!D66</f>
        <v>0</v>
      </c>
      <c r="H66" s="74" t="s">
        <v>118</v>
      </c>
      <c r="I66" s="75">
        <f aca="true" t="shared" si="15" ref="I66:K67">ROUND(B66/1000,0)</f>
        <v>186</v>
      </c>
      <c r="J66" s="75">
        <f t="shared" si="15"/>
        <v>51</v>
      </c>
      <c r="K66" s="75">
        <f t="shared" si="15"/>
        <v>0</v>
      </c>
      <c r="L66" s="76">
        <f t="shared" si="10"/>
        <v>0</v>
      </c>
      <c r="M66" s="78"/>
      <c r="N66" s="75">
        <f>K66-'[2]Februaris'!K66</f>
        <v>0</v>
      </c>
    </row>
    <row r="67" spans="1:14" ht="12.75">
      <c r="A67" s="74" t="s">
        <v>119</v>
      </c>
      <c r="B67" s="75">
        <v>497000</v>
      </c>
      <c r="C67" s="75">
        <v>85000</v>
      </c>
      <c r="D67" s="75"/>
      <c r="E67" s="59">
        <f t="shared" si="5"/>
        <v>0</v>
      </c>
      <c r="F67" s="59">
        <f t="shared" si="2"/>
        <v>0</v>
      </c>
      <c r="G67" s="50">
        <f>D67-'[2]Februaris'!D67</f>
        <v>0</v>
      </c>
      <c r="H67" s="74" t="s">
        <v>119</v>
      </c>
      <c r="I67" s="75">
        <f t="shared" si="15"/>
        <v>497</v>
      </c>
      <c r="J67" s="75">
        <f t="shared" si="15"/>
        <v>85</v>
      </c>
      <c r="K67" s="75">
        <f t="shared" si="15"/>
        <v>0</v>
      </c>
      <c r="L67" s="76">
        <f t="shared" si="10"/>
        <v>0</v>
      </c>
      <c r="M67" s="78"/>
      <c r="N67" s="75">
        <f>K67-'[2]Februaris'!K67</f>
        <v>0</v>
      </c>
    </row>
    <row r="68" spans="1:14" s="64" customFormat="1" ht="12.75">
      <c r="A68" s="71" t="s">
        <v>123</v>
      </c>
      <c r="B68" s="72">
        <f>SUM(B69:B70)</f>
        <v>380700</v>
      </c>
      <c r="C68" s="72">
        <f>SUM(C69:C70)</f>
        <v>96613</v>
      </c>
      <c r="D68" s="72">
        <f>SUM(D69:D70)</f>
        <v>95929</v>
      </c>
      <c r="E68" s="59">
        <f t="shared" si="5"/>
        <v>0.2519805621224061</v>
      </c>
      <c r="F68" s="59">
        <f t="shared" si="2"/>
        <v>0.9929202074255017</v>
      </c>
      <c r="G68" s="50">
        <f>D68-'[2]Februaris'!D68</f>
        <v>86889</v>
      </c>
      <c r="H68" s="71" t="s">
        <v>123</v>
      </c>
      <c r="I68" s="72">
        <f>SUM(I69:I70)</f>
        <v>381</v>
      </c>
      <c r="J68" s="72">
        <f>SUM(J69:J70)</f>
        <v>97</v>
      </c>
      <c r="K68" s="72">
        <f>SUM(K69:K70)</f>
        <v>96</v>
      </c>
      <c r="L68" s="73">
        <f t="shared" si="10"/>
        <v>0.25196850393700787</v>
      </c>
      <c r="M68" s="77">
        <f aca="true" t="shared" si="16" ref="M68:M73">IF(ISERROR(ROUND(K68,0)/ROUND(J68,0))," ",(ROUND(K68,)/ROUND(J68,)))</f>
        <v>0.9896907216494846</v>
      </c>
      <c r="N68" s="72">
        <f>K68-'[2]Februaris'!K68</f>
        <v>87</v>
      </c>
    </row>
    <row r="69" spans="1:14" ht="12.75">
      <c r="A69" s="74" t="s">
        <v>118</v>
      </c>
      <c r="B69" s="75">
        <v>30700</v>
      </c>
      <c r="C69" s="75">
        <v>7613</v>
      </c>
      <c r="D69" s="75">
        <v>7572</v>
      </c>
      <c r="E69" s="59">
        <f t="shared" si="5"/>
        <v>0.24664495114006516</v>
      </c>
      <c r="F69" s="59">
        <f t="shared" si="2"/>
        <v>0.9946144752397216</v>
      </c>
      <c r="G69" s="50">
        <f>D69-'[2]Februaris'!D69</f>
        <v>3203</v>
      </c>
      <c r="H69" s="74" t="s">
        <v>118</v>
      </c>
      <c r="I69" s="75">
        <f aca="true" t="shared" si="17" ref="I69:K70">ROUND(B69/1000,0)</f>
        <v>31</v>
      </c>
      <c r="J69" s="75">
        <f t="shared" si="17"/>
        <v>8</v>
      </c>
      <c r="K69" s="75">
        <f t="shared" si="17"/>
        <v>8</v>
      </c>
      <c r="L69" s="76">
        <f t="shared" si="10"/>
        <v>0.25806451612903225</v>
      </c>
      <c r="M69" s="78">
        <f t="shared" si="16"/>
        <v>1</v>
      </c>
      <c r="N69" s="75">
        <f>K69-'[2]Februaris'!K69</f>
        <v>4</v>
      </c>
    </row>
    <row r="70" spans="1:14" ht="12.75">
      <c r="A70" s="74" t="s">
        <v>119</v>
      </c>
      <c r="B70" s="75">
        <v>350000</v>
      </c>
      <c r="C70" s="75">
        <v>89000</v>
      </c>
      <c r="D70" s="75">
        <v>88357</v>
      </c>
      <c r="E70" s="59">
        <f t="shared" si="5"/>
        <v>0.2524485714285714</v>
      </c>
      <c r="F70" s="59">
        <f t="shared" si="2"/>
        <v>0.9927752808988765</v>
      </c>
      <c r="G70" s="50">
        <f>D70-'[2]Februaris'!D70</f>
        <v>83686</v>
      </c>
      <c r="H70" s="74" t="s">
        <v>119</v>
      </c>
      <c r="I70" s="75">
        <f t="shared" si="17"/>
        <v>350</v>
      </c>
      <c r="J70" s="75">
        <f t="shared" si="17"/>
        <v>89</v>
      </c>
      <c r="K70" s="75">
        <f t="shared" si="17"/>
        <v>88</v>
      </c>
      <c r="L70" s="76">
        <f t="shared" si="10"/>
        <v>0.25142857142857145</v>
      </c>
      <c r="M70" s="78">
        <f t="shared" si="16"/>
        <v>0.9887640449438202</v>
      </c>
      <c r="N70" s="75">
        <f>K70-'[2]Februaris'!K70</f>
        <v>83</v>
      </c>
    </row>
    <row r="71" spans="1:14" s="2" customFormat="1" ht="24">
      <c r="A71" s="79" t="s">
        <v>132</v>
      </c>
      <c r="B71" s="82">
        <f>B72+B75</f>
        <v>1445796</v>
      </c>
      <c r="C71" s="82">
        <f>C72+C75</f>
        <v>147480</v>
      </c>
      <c r="D71" s="82">
        <f>D72+D75</f>
        <v>81797</v>
      </c>
      <c r="E71" s="69">
        <f t="shared" si="5"/>
        <v>0.05657575480911553</v>
      </c>
      <c r="F71" s="69">
        <f t="shared" si="2"/>
        <v>0.554631136425278</v>
      </c>
      <c r="G71" s="50">
        <f>D71-'[2]Februaris'!D71</f>
        <v>15035</v>
      </c>
      <c r="H71" s="79" t="s">
        <v>132</v>
      </c>
      <c r="I71" s="60">
        <f>I72+I75</f>
        <v>1446</v>
      </c>
      <c r="J71" s="60">
        <f>J72+J75</f>
        <v>148</v>
      </c>
      <c r="K71" s="60">
        <f>K72+K75</f>
        <v>82</v>
      </c>
      <c r="L71" s="61">
        <f t="shared" si="10"/>
        <v>0.056708160442600276</v>
      </c>
      <c r="M71" s="62">
        <f t="shared" si="16"/>
        <v>0.5540540540540541</v>
      </c>
      <c r="N71" s="60">
        <f>K71-'[2]Februaris'!K71</f>
        <v>15</v>
      </c>
    </row>
    <row r="72" spans="1:14" s="64" customFormat="1" ht="12.75">
      <c r="A72" s="71" t="s">
        <v>122</v>
      </c>
      <c r="B72" s="72">
        <f>SUM(B73:B74)</f>
        <v>997196</v>
      </c>
      <c r="C72" s="72">
        <f>SUM(C73:C74)</f>
        <v>147480</v>
      </c>
      <c r="D72" s="72">
        <f>SUM(D73:D74)</f>
        <v>81797</v>
      </c>
      <c r="E72" s="59">
        <f t="shared" si="5"/>
        <v>0.08202700371842647</v>
      </c>
      <c r="F72" s="59">
        <f t="shared" si="2"/>
        <v>0.554631136425278</v>
      </c>
      <c r="G72" s="50">
        <f>D72-'[2]Februaris'!D72</f>
        <v>15035</v>
      </c>
      <c r="H72" s="71" t="s">
        <v>122</v>
      </c>
      <c r="I72" s="72">
        <f>SUM(I73:I74)</f>
        <v>997</v>
      </c>
      <c r="J72" s="72">
        <f>SUM(J73:J74)</f>
        <v>148</v>
      </c>
      <c r="K72" s="72">
        <f>SUM(K73:K74)</f>
        <v>82</v>
      </c>
      <c r="L72" s="73">
        <f t="shared" si="10"/>
        <v>0.08224674022066199</v>
      </c>
      <c r="M72" s="77">
        <f t="shared" si="16"/>
        <v>0.5540540540540541</v>
      </c>
      <c r="N72" s="72">
        <f>K72-'[2]Februaris'!K72</f>
        <v>15</v>
      </c>
    </row>
    <row r="73" spans="1:14" ht="12.75">
      <c r="A73" s="74" t="s">
        <v>118</v>
      </c>
      <c r="B73" s="75">
        <v>890702</v>
      </c>
      <c r="C73" s="75">
        <v>120905</v>
      </c>
      <c r="D73" s="75">
        <v>81797</v>
      </c>
      <c r="E73" s="59">
        <f t="shared" si="5"/>
        <v>0.09183430597438874</v>
      </c>
      <c r="F73" s="59">
        <f aca="true" t="shared" si="18" ref="F73:F95">IF(ISERROR(D73/C73)," ",(D73/C73))</f>
        <v>0.676539431785286</v>
      </c>
      <c r="G73" s="50">
        <f>D73-'[2]Februaris'!D73</f>
        <v>15035</v>
      </c>
      <c r="H73" s="74" t="s">
        <v>118</v>
      </c>
      <c r="I73" s="75">
        <f aca="true" t="shared" si="19" ref="I73:K74">ROUND(B73/1000,0)</f>
        <v>891</v>
      </c>
      <c r="J73" s="75">
        <f t="shared" si="19"/>
        <v>121</v>
      </c>
      <c r="K73" s="75">
        <f t="shared" si="19"/>
        <v>82</v>
      </c>
      <c r="L73" s="76">
        <f t="shared" si="10"/>
        <v>0.0920314253647587</v>
      </c>
      <c r="M73" s="78">
        <f t="shared" si="16"/>
        <v>0.6776859504132231</v>
      </c>
      <c r="N73" s="75">
        <f>K73-'[2]Februaris'!K73</f>
        <v>15</v>
      </c>
    </row>
    <row r="74" spans="1:14" ht="12.75">
      <c r="A74" s="83" t="s">
        <v>119</v>
      </c>
      <c r="B74" s="75">
        <v>106494</v>
      </c>
      <c r="C74" s="75">
        <v>26575</v>
      </c>
      <c r="D74" s="75"/>
      <c r="E74" s="59">
        <f t="shared" si="5"/>
        <v>0</v>
      </c>
      <c r="F74" s="59">
        <f t="shared" si="18"/>
        <v>0</v>
      </c>
      <c r="G74" s="50">
        <f>D74-'[2]Februaris'!D74</f>
        <v>0</v>
      </c>
      <c r="H74" s="83" t="s">
        <v>119</v>
      </c>
      <c r="I74" s="75">
        <f t="shared" si="19"/>
        <v>106</v>
      </c>
      <c r="J74" s="75">
        <f t="shared" si="19"/>
        <v>27</v>
      </c>
      <c r="K74" s="75">
        <f t="shared" si="19"/>
        <v>0</v>
      </c>
      <c r="L74" s="76">
        <f t="shared" si="10"/>
        <v>0</v>
      </c>
      <c r="M74" s="78"/>
      <c r="N74" s="75">
        <f>K74-'[2]Februaris'!K74</f>
        <v>0</v>
      </c>
    </row>
    <row r="75" spans="1:14" s="64" customFormat="1" ht="12.75">
      <c r="A75" s="71" t="s">
        <v>123</v>
      </c>
      <c r="B75" s="72">
        <f>SUM(B76:B77)</f>
        <v>448600</v>
      </c>
      <c r="C75" s="72">
        <f>SUM(C76:C77)</f>
        <v>0</v>
      </c>
      <c r="D75" s="72">
        <f>SUM(D76:D77)</f>
        <v>0</v>
      </c>
      <c r="E75" s="59">
        <f t="shared" si="5"/>
        <v>0</v>
      </c>
      <c r="F75" s="59" t="str">
        <f t="shared" si="18"/>
        <v> </v>
      </c>
      <c r="G75" s="50">
        <f>D75-'[2]Februaris'!D75</f>
        <v>0</v>
      </c>
      <c r="H75" s="71" t="s">
        <v>123</v>
      </c>
      <c r="I75" s="72">
        <f>SUM(I76:I77)</f>
        <v>449</v>
      </c>
      <c r="J75" s="72">
        <f>SUM(J76:J77)</f>
        <v>0</v>
      </c>
      <c r="K75" s="72">
        <f>SUM(K76:K77)</f>
        <v>0</v>
      </c>
      <c r="L75" s="73">
        <f t="shared" si="10"/>
        <v>0</v>
      </c>
      <c r="M75" s="77"/>
      <c r="N75" s="72">
        <f>K75-'[2]Februaris'!K75</f>
        <v>0</v>
      </c>
    </row>
    <row r="76" spans="1:14" ht="12.75">
      <c r="A76" s="74" t="s">
        <v>118</v>
      </c>
      <c r="B76" s="75">
        <v>48600</v>
      </c>
      <c r="C76" s="75"/>
      <c r="D76" s="75"/>
      <c r="E76" s="59">
        <f t="shared" si="5"/>
        <v>0</v>
      </c>
      <c r="F76" s="59" t="str">
        <f t="shared" si="18"/>
        <v> </v>
      </c>
      <c r="G76" s="50">
        <f>D76-'[2]Februaris'!D76</f>
        <v>0</v>
      </c>
      <c r="H76" s="74" t="s">
        <v>118</v>
      </c>
      <c r="I76" s="75">
        <f aca="true" t="shared" si="20" ref="I76:K77">ROUND(B76/1000,0)</f>
        <v>49</v>
      </c>
      <c r="J76" s="75">
        <f t="shared" si="20"/>
        <v>0</v>
      </c>
      <c r="K76" s="75">
        <f t="shared" si="20"/>
        <v>0</v>
      </c>
      <c r="L76" s="76">
        <f t="shared" si="10"/>
        <v>0</v>
      </c>
      <c r="M76" s="78"/>
      <c r="N76" s="75">
        <f>K76-'[2]Februaris'!K76</f>
        <v>0</v>
      </c>
    </row>
    <row r="77" spans="1:14" ht="12.75">
      <c r="A77" s="74" t="s">
        <v>119</v>
      </c>
      <c r="B77" s="75">
        <v>400000</v>
      </c>
      <c r="C77" s="75"/>
      <c r="D77" s="75"/>
      <c r="E77" s="59">
        <f t="shared" si="5"/>
        <v>0</v>
      </c>
      <c r="F77" s="59" t="str">
        <f t="shared" si="18"/>
        <v> </v>
      </c>
      <c r="G77" s="50">
        <f>D77-'[2]Februaris'!D77</f>
        <v>0</v>
      </c>
      <c r="H77" s="74" t="s">
        <v>119</v>
      </c>
      <c r="I77" s="75">
        <f t="shared" si="20"/>
        <v>400</v>
      </c>
      <c r="J77" s="75">
        <f t="shared" si="20"/>
        <v>0</v>
      </c>
      <c r="K77" s="75">
        <f t="shared" si="20"/>
        <v>0</v>
      </c>
      <c r="L77" s="76">
        <f t="shared" si="10"/>
        <v>0</v>
      </c>
      <c r="M77" s="78"/>
      <c r="N77" s="75">
        <f>K77-'[2]Februaris'!K77</f>
        <v>0</v>
      </c>
    </row>
    <row r="78" spans="1:14" s="2" customFormat="1" ht="36">
      <c r="A78" s="84" t="s">
        <v>133</v>
      </c>
      <c r="B78" s="82">
        <f>B79+B81</f>
        <v>1485236</v>
      </c>
      <c r="C78" s="82">
        <f>C79+C81</f>
        <v>410604</v>
      </c>
      <c r="D78" s="82">
        <f>D79+D81</f>
        <v>210824</v>
      </c>
      <c r="E78" s="69">
        <f t="shared" si="5"/>
        <v>0.14194646507356407</v>
      </c>
      <c r="F78" s="69">
        <f t="shared" si="18"/>
        <v>0.5134484807746637</v>
      </c>
      <c r="G78" s="50">
        <f>D78-'[2]Februaris'!D78</f>
        <v>48085</v>
      </c>
      <c r="H78" s="84" t="s">
        <v>133</v>
      </c>
      <c r="I78" s="60">
        <f>I79+I81</f>
        <v>1485</v>
      </c>
      <c r="J78" s="60">
        <f>J79+J81</f>
        <v>410</v>
      </c>
      <c r="K78" s="60">
        <f>K79+K81</f>
        <v>211</v>
      </c>
      <c r="L78" s="61">
        <f t="shared" si="10"/>
        <v>0.1420875420875421</v>
      </c>
      <c r="M78" s="62">
        <f>IF(ISERROR(ROUND(K78,0)/ROUND(J78,0))," ",(ROUND(K78,)/ROUND(J78,)))</f>
        <v>0.5146341463414634</v>
      </c>
      <c r="N78" s="60">
        <f>K78-'[2]Februaris'!K78</f>
        <v>48</v>
      </c>
    </row>
    <row r="79" spans="1:14" s="64" customFormat="1" ht="12.75">
      <c r="A79" s="71" t="s">
        <v>122</v>
      </c>
      <c r="B79" s="72">
        <f>SUM(B80:B80)</f>
        <v>1356638</v>
      </c>
      <c r="C79" s="72">
        <f>SUM(C80:C80)</f>
        <v>378453</v>
      </c>
      <c r="D79" s="72">
        <f>SUM(D80:D80)</f>
        <v>190686</v>
      </c>
      <c r="E79" s="59">
        <f t="shared" si="5"/>
        <v>0.14055776117136629</v>
      </c>
      <c r="F79" s="59">
        <f t="shared" si="18"/>
        <v>0.5038564894451887</v>
      </c>
      <c r="G79" s="50">
        <f>D79-'[2]Februaris'!D79</f>
        <v>43586</v>
      </c>
      <c r="H79" s="71" t="s">
        <v>122</v>
      </c>
      <c r="I79" s="72">
        <f>I80</f>
        <v>1357</v>
      </c>
      <c r="J79" s="72">
        <f>J80</f>
        <v>378</v>
      </c>
      <c r="K79" s="72">
        <f>K80</f>
        <v>191</v>
      </c>
      <c r="L79" s="73">
        <f t="shared" si="10"/>
        <v>0.14075165806927045</v>
      </c>
      <c r="M79" s="73">
        <f>IF(ISERROR(ROUND(K79,0)/ROUND(J79,0))," ",(ROUND(K79,)/ROUND(J79,)))</f>
        <v>0.5052910052910053</v>
      </c>
      <c r="N79" s="72">
        <f>K79-'[2]Februaris'!K79</f>
        <v>44</v>
      </c>
    </row>
    <row r="80" spans="1:14" ht="12.75">
      <c r="A80" s="74" t="s">
        <v>118</v>
      </c>
      <c r="B80" s="75">
        <v>1356638</v>
      </c>
      <c r="C80" s="75">
        <v>378453</v>
      </c>
      <c r="D80" s="75">
        <v>190686</v>
      </c>
      <c r="E80" s="59">
        <f t="shared" si="5"/>
        <v>0.14055776117136629</v>
      </c>
      <c r="F80" s="59">
        <f t="shared" si="18"/>
        <v>0.5038564894451887</v>
      </c>
      <c r="G80" s="50">
        <f>D80-'[2]Februaris'!D80</f>
        <v>43586</v>
      </c>
      <c r="H80" s="74" t="s">
        <v>118</v>
      </c>
      <c r="I80" s="75">
        <f>ROUND(B80/1000,0)</f>
        <v>1357</v>
      </c>
      <c r="J80" s="75">
        <f>ROUND(C80/1000,0)</f>
        <v>378</v>
      </c>
      <c r="K80" s="75">
        <f>ROUND(D80/1000,0)</f>
        <v>191</v>
      </c>
      <c r="L80" s="76">
        <f t="shared" si="10"/>
        <v>0.14075165806927045</v>
      </c>
      <c r="M80" s="76">
        <f>IF(ISERROR(ROUND(K80,0)/ROUND(J80,0))," ",(ROUND(K80,)/ROUND(J80,)))</f>
        <v>0.5052910052910053</v>
      </c>
      <c r="N80" s="75">
        <f>K80-'[2]Februaris'!K80</f>
        <v>44</v>
      </c>
    </row>
    <row r="81" spans="1:14" s="64" customFormat="1" ht="12.75">
      <c r="A81" s="71" t="s">
        <v>123</v>
      </c>
      <c r="B81" s="72">
        <f>B82</f>
        <v>128598</v>
      </c>
      <c r="C81" s="72">
        <f>C82</f>
        <v>32151</v>
      </c>
      <c r="D81" s="72">
        <f>D82</f>
        <v>20138</v>
      </c>
      <c r="E81" s="59">
        <f t="shared" si="5"/>
        <v>0.15659652560693013</v>
      </c>
      <c r="F81" s="59">
        <f t="shared" si="18"/>
        <v>0.626356878479674</v>
      </c>
      <c r="G81" s="50">
        <f>D81-'[2]Februaris'!D81</f>
        <v>4499</v>
      </c>
      <c r="H81" s="71" t="s">
        <v>123</v>
      </c>
      <c r="I81" s="72">
        <f>I82</f>
        <v>128</v>
      </c>
      <c r="J81" s="72">
        <f>J82</f>
        <v>32</v>
      </c>
      <c r="K81" s="72">
        <f>K82</f>
        <v>20</v>
      </c>
      <c r="L81" s="73">
        <f t="shared" si="10"/>
        <v>0.15625</v>
      </c>
      <c r="M81" s="77">
        <f>IF(ISERROR(ROUND(K81,0)/ROUND(J81,0))," ",(ROUND(K81,)/ROUND(J81,)))</f>
        <v>0.625</v>
      </c>
      <c r="N81" s="72">
        <f>K81-'[2]Februaris'!K81</f>
        <v>4</v>
      </c>
    </row>
    <row r="82" spans="1:14" ht="12.75">
      <c r="A82" s="74" t="s">
        <v>118</v>
      </c>
      <c r="B82" s="75">
        <v>128598</v>
      </c>
      <c r="C82" s="75">
        <v>32151</v>
      </c>
      <c r="D82" s="75">
        <v>20138</v>
      </c>
      <c r="E82" s="59">
        <f t="shared" si="5"/>
        <v>0.15659652560693013</v>
      </c>
      <c r="F82" s="59">
        <f t="shared" si="18"/>
        <v>0.626356878479674</v>
      </c>
      <c r="G82" s="50">
        <f>D82-'[2]Februaris'!D82</f>
        <v>4499</v>
      </c>
      <c r="H82" s="74" t="s">
        <v>118</v>
      </c>
      <c r="I82" s="75">
        <f>ROUND(B82/1000,0)-1</f>
        <v>128</v>
      </c>
      <c r="J82" s="75">
        <f>ROUND(C82/1000,0)</f>
        <v>32</v>
      </c>
      <c r="K82" s="75">
        <f>ROUND(D82/1000,0)</f>
        <v>20</v>
      </c>
      <c r="L82" s="76">
        <f t="shared" si="10"/>
        <v>0.15625</v>
      </c>
      <c r="M82" s="78">
        <f>IF(ISERROR(ROUND(K82,0)/ROUND(J82,0))," ",(ROUND(K82,)/ROUND(J82,)))</f>
        <v>0.625</v>
      </c>
      <c r="N82" s="75">
        <f>K82-'[2]Februaris'!K82</f>
        <v>4</v>
      </c>
    </row>
    <row r="83" spans="1:14" s="2" customFormat="1" ht="36">
      <c r="A83" s="84" t="s">
        <v>134</v>
      </c>
      <c r="B83" s="60">
        <f aca="true" t="shared" si="21" ref="B83:D84">B84</f>
        <v>1828380</v>
      </c>
      <c r="C83" s="60">
        <f t="shared" si="21"/>
        <v>506126</v>
      </c>
      <c r="D83" s="60">
        <f t="shared" si="21"/>
        <v>0</v>
      </c>
      <c r="E83" s="69">
        <f t="shared" si="5"/>
        <v>0</v>
      </c>
      <c r="F83" s="69">
        <f t="shared" si="18"/>
        <v>0</v>
      </c>
      <c r="G83" s="50">
        <f>D83-'[2]Februaris'!D83</f>
        <v>0</v>
      </c>
      <c r="H83" s="84" t="s">
        <v>134</v>
      </c>
      <c r="I83" s="60">
        <f aca="true" t="shared" si="22" ref="I83:K84">I84</f>
        <v>1828</v>
      </c>
      <c r="J83" s="60">
        <f t="shared" si="22"/>
        <v>506</v>
      </c>
      <c r="K83" s="60">
        <f t="shared" si="22"/>
        <v>0</v>
      </c>
      <c r="L83" s="61">
        <f t="shared" si="10"/>
        <v>0</v>
      </c>
      <c r="M83" s="78"/>
      <c r="N83" s="60">
        <f>K83-'[2]Februaris'!K83</f>
        <v>0</v>
      </c>
    </row>
    <row r="84" spans="1:14" s="64" customFormat="1" ht="12.75">
      <c r="A84" s="71" t="s">
        <v>122</v>
      </c>
      <c r="B84" s="72">
        <f t="shared" si="21"/>
        <v>1828380</v>
      </c>
      <c r="C84" s="72">
        <f t="shared" si="21"/>
        <v>506126</v>
      </c>
      <c r="D84" s="72">
        <f t="shared" si="21"/>
        <v>0</v>
      </c>
      <c r="E84" s="59">
        <f t="shared" si="5"/>
        <v>0</v>
      </c>
      <c r="F84" s="59">
        <f t="shared" si="18"/>
        <v>0</v>
      </c>
      <c r="G84" s="50">
        <f>D84-'[2]Februaris'!D84</f>
        <v>0</v>
      </c>
      <c r="H84" s="71" t="s">
        <v>122</v>
      </c>
      <c r="I84" s="72">
        <f t="shared" si="22"/>
        <v>1828</v>
      </c>
      <c r="J84" s="72">
        <f t="shared" si="22"/>
        <v>506</v>
      </c>
      <c r="K84" s="72">
        <f t="shared" si="22"/>
        <v>0</v>
      </c>
      <c r="L84" s="73">
        <f t="shared" si="10"/>
        <v>0</v>
      </c>
      <c r="M84" s="78"/>
      <c r="N84" s="72">
        <f>K84-'[2]Februaris'!K84</f>
        <v>0</v>
      </c>
    </row>
    <row r="85" spans="1:14" ht="12.75">
      <c r="A85" s="74" t="s">
        <v>118</v>
      </c>
      <c r="B85" s="75">
        <v>1828380</v>
      </c>
      <c r="C85" s="75">
        <v>506126</v>
      </c>
      <c r="D85" s="75">
        <v>0</v>
      </c>
      <c r="E85" s="59">
        <f t="shared" si="5"/>
        <v>0</v>
      </c>
      <c r="F85" s="59">
        <f t="shared" si="18"/>
        <v>0</v>
      </c>
      <c r="G85" s="50">
        <f>D85-'[2]Februaris'!D85</f>
        <v>0</v>
      </c>
      <c r="H85" s="74" t="s">
        <v>118</v>
      </c>
      <c r="I85" s="75">
        <f>ROUND(B85/1000,0)</f>
        <v>1828</v>
      </c>
      <c r="J85" s="75">
        <f>ROUND(C85/1000,0)</f>
        <v>506</v>
      </c>
      <c r="K85" s="75">
        <f>ROUND(D85/1000,0)</f>
        <v>0</v>
      </c>
      <c r="L85" s="76">
        <f t="shared" si="10"/>
        <v>0</v>
      </c>
      <c r="M85" s="78"/>
      <c r="N85" s="75">
        <f>K85-'[2]Februaris'!K85</f>
        <v>0</v>
      </c>
    </row>
    <row r="86" spans="1:104" ht="38.25">
      <c r="A86" s="49" t="s">
        <v>135</v>
      </c>
      <c r="B86" s="85">
        <f>B87+B89</f>
        <v>7653852</v>
      </c>
      <c r="C86" s="85">
        <f>C87+C89</f>
        <v>663466</v>
      </c>
      <c r="D86" s="85">
        <f>D87+D89</f>
        <v>268909</v>
      </c>
      <c r="E86" s="51">
        <f t="shared" si="5"/>
        <v>0.03513381236010312</v>
      </c>
      <c r="F86" s="51">
        <f t="shared" si="18"/>
        <v>0.4053093903832299</v>
      </c>
      <c r="G86" s="50">
        <f>D86-'[2]Februaris'!D86</f>
        <v>19585</v>
      </c>
      <c r="H86" s="49" t="s">
        <v>135</v>
      </c>
      <c r="I86" s="52">
        <f>I87+I89</f>
        <v>7654</v>
      </c>
      <c r="J86" s="52">
        <f>J87+J89</f>
        <v>663</v>
      </c>
      <c r="K86" s="52">
        <f>K87+K89</f>
        <v>269</v>
      </c>
      <c r="L86" s="53">
        <f t="shared" si="10"/>
        <v>0.035145022210608834</v>
      </c>
      <c r="M86" s="53">
        <f aca="true" t="shared" si="23" ref="M86:M95">IF(ISERROR(ROUND(K86,0)/ROUND(J86,0))," ",(ROUND(K86,)/ROUND(J86,)))</f>
        <v>0.4057315233785822</v>
      </c>
      <c r="N86" s="52">
        <f>K86-'[2]Februaris'!K86</f>
        <v>20</v>
      </c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</row>
    <row r="87" spans="1:104" s="87" customFormat="1" ht="15" customHeight="1">
      <c r="A87" s="55" t="s">
        <v>117</v>
      </c>
      <c r="B87" s="50">
        <f>B88</f>
        <v>3371252</v>
      </c>
      <c r="C87" s="50">
        <f>C88</f>
        <v>371466</v>
      </c>
      <c r="D87" s="50">
        <f>D88</f>
        <v>154761</v>
      </c>
      <c r="E87" s="51">
        <f t="shared" si="5"/>
        <v>0.045906090674918396</v>
      </c>
      <c r="F87" s="51">
        <f t="shared" si="18"/>
        <v>0.41662224806577186</v>
      </c>
      <c r="G87" s="50">
        <f>D87-'[2]Februaris'!D87</f>
        <v>0</v>
      </c>
      <c r="H87" s="55" t="s">
        <v>117</v>
      </c>
      <c r="I87" s="86">
        <f>I88</f>
        <v>3371</v>
      </c>
      <c r="J87" s="86">
        <f>J88</f>
        <v>371</v>
      </c>
      <c r="K87" s="86">
        <f>K88</f>
        <v>155</v>
      </c>
      <c r="L87" s="53">
        <f t="shared" si="10"/>
        <v>0.045980421239988134</v>
      </c>
      <c r="M87" s="53">
        <f t="shared" si="23"/>
        <v>0.41778975741239893</v>
      </c>
      <c r="N87" s="86">
        <f>K87-'[2]Februaris'!K87</f>
        <v>0</v>
      </c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</row>
    <row r="88" spans="1:14" ht="12.75">
      <c r="A88" s="58" t="s">
        <v>119</v>
      </c>
      <c r="B88" s="82">
        <f>B93</f>
        <v>3371252</v>
      </c>
      <c r="C88" s="82">
        <f>C93</f>
        <v>371466</v>
      </c>
      <c r="D88" s="82">
        <f>D93</f>
        <v>154761</v>
      </c>
      <c r="E88" s="59">
        <f aca="true" t="shared" si="24" ref="E88:E95">IF(ISERROR(D88/B88)," ",(D88/B88))</f>
        <v>0.045906090674918396</v>
      </c>
      <c r="F88" s="59">
        <f t="shared" si="18"/>
        <v>0.41662224806577186</v>
      </c>
      <c r="G88" s="50">
        <f>D88-'[2]Februaris'!D88</f>
        <v>0</v>
      </c>
      <c r="H88" s="58" t="s">
        <v>119</v>
      </c>
      <c r="I88" s="60">
        <f>I93</f>
        <v>3371</v>
      </c>
      <c r="J88" s="68">
        <f>J93</f>
        <v>371</v>
      </c>
      <c r="K88" s="68">
        <f>K93</f>
        <v>155</v>
      </c>
      <c r="L88" s="61">
        <f t="shared" si="10"/>
        <v>0.045980421239988134</v>
      </c>
      <c r="M88" s="61">
        <f t="shared" si="23"/>
        <v>0.41778975741239893</v>
      </c>
      <c r="N88" s="68">
        <f>K88-'[2]Februaris'!K88</f>
        <v>0</v>
      </c>
    </row>
    <row r="89" spans="1:104" s="87" customFormat="1" ht="15" customHeight="1">
      <c r="A89" s="55" t="s">
        <v>136</v>
      </c>
      <c r="B89" s="50">
        <f>B90</f>
        <v>4282600</v>
      </c>
      <c r="C89" s="50">
        <f>C90</f>
        <v>292000</v>
      </c>
      <c r="D89" s="50">
        <f>D90</f>
        <v>114148</v>
      </c>
      <c r="E89" s="51">
        <f t="shared" si="24"/>
        <v>0.026653901835333674</v>
      </c>
      <c r="F89" s="51">
        <f t="shared" si="18"/>
        <v>0.3909178082191781</v>
      </c>
      <c r="G89" s="50">
        <f>D89-'[2]Februaris'!D89</f>
        <v>19585</v>
      </c>
      <c r="H89" s="55" t="s">
        <v>136</v>
      </c>
      <c r="I89" s="52">
        <f>I90</f>
        <v>4283</v>
      </c>
      <c r="J89" s="52">
        <f>J90</f>
        <v>292</v>
      </c>
      <c r="K89" s="52">
        <f>K90</f>
        <v>114</v>
      </c>
      <c r="L89" s="53">
        <f t="shared" si="10"/>
        <v>0.02661685734298389</v>
      </c>
      <c r="M89" s="53">
        <f t="shared" si="23"/>
        <v>0.3904109589041096</v>
      </c>
      <c r="N89" s="52">
        <f>K89-'[2]Februaris'!K89</f>
        <v>20</v>
      </c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</row>
    <row r="90" spans="1:14" ht="12.75">
      <c r="A90" s="58" t="s">
        <v>119</v>
      </c>
      <c r="B90" s="82">
        <f>B95</f>
        <v>4282600</v>
      </c>
      <c r="C90" s="82">
        <f>C95</f>
        <v>292000</v>
      </c>
      <c r="D90" s="82">
        <f>D95</f>
        <v>114148</v>
      </c>
      <c r="E90" s="59">
        <f t="shared" si="24"/>
        <v>0.026653901835333674</v>
      </c>
      <c r="F90" s="59">
        <f t="shared" si="18"/>
        <v>0.3909178082191781</v>
      </c>
      <c r="G90" s="50">
        <f>D90-'[2]Februaris'!D90</f>
        <v>19585</v>
      </c>
      <c r="H90" s="58" t="s">
        <v>119</v>
      </c>
      <c r="I90" s="60">
        <f>I95</f>
        <v>4283</v>
      </c>
      <c r="J90" s="68">
        <f>J95</f>
        <v>292</v>
      </c>
      <c r="K90" s="68">
        <f>K95</f>
        <v>114</v>
      </c>
      <c r="L90" s="61">
        <f t="shared" si="10"/>
        <v>0.02661685734298389</v>
      </c>
      <c r="M90" s="61">
        <f t="shared" si="23"/>
        <v>0.3904109589041096</v>
      </c>
      <c r="N90" s="68">
        <f>K90-'[2]Februaris'!K90</f>
        <v>20</v>
      </c>
    </row>
    <row r="91" spans="1:14" s="2" customFormat="1" ht="12.75">
      <c r="A91" s="84" t="s">
        <v>129</v>
      </c>
      <c r="B91" s="60">
        <f>B92+B94</f>
        <v>7653852</v>
      </c>
      <c r="C91" s="60">
        <f>C92+C94</f>
        <v>663466</v>
      </c>
      <c r="D91" s="60">
        <f>D92+D94</f>
        <v>268909</v>
      </c>
      <c r="E91" s="69">
        <f t="shared" si="24"/>
        <v>0.03513381236010312</v>
      </c>
      <c r="F91" s="69">
        <f t="shared" si="18"/>
        <v>0.4053093903832299</v>
      </c>
      <c r="G91" s="50">
        <f>D91-'[2]Februaris'!D91</f>
        <v>19585</v>
      </c>
      <c r="H91" s="84" t="s">
        <v>129</v>
      </c>
      <c r="I91" s="60">
        <f>I92+I94</f>
        <v>7654</v>
      </c>
      <c r="J91" s="60">
        <f>J92+J94</f>
        <v>663</v>
      </c>
      <c r="K91" s="60">
        <f>K92+K94</f>
        <v>269</v>
      </c>
      <c r="L91" s="61">
        <f t="shared" si="10"/>
        <v>0.035145022210608834</v>
      </c>
      <c r="M91" s="61">
        <f t="shared" si="23"/>
        <v>0.4057315233785822</v>
      </c>
      <c r="N91" s="60">
        <f>K91-'[2]Februaris'!K91</f>
        <v>20</v>
      </c>
    </row>
    <row r="92" spans="1:14" s="64" customFormat="1" ht="12.75">
      <c r="A92" s="71" t="s">
        <v>122</v>
      </c>
      <c r="B92" s="72">
        <f>B93</f>
        <v>3371252</v>
      </c>
      <c r="C92" s="72">
        <f>C93</f>
        <v>371466</v>
      </c>
      <c r="D92" s="72">
        <f>D93</f>
        <v>154761</v>
      </c>
      <c r="E92" s="59">
        <f t="shared" si="24"/>
        <v>0.045906090674918396</v>
      </c>
      <c r="F92" s="59">
        <f t="shared" si="18"/>
        <v>0.41662224806577186</v>
      </c>
      <c r="G92" s="50">
        <f>D92-'[2]Februaris'!D92</f>
        <v>0</v>
      </c>
      <c r="H92" s="71" t="s">
        <v>122</v>
      </c>
      <c r="I92" s="72">
        <f>I93</f>
        <v>3371</v>
      </c>
      <c r="J92" s="72">
        <f>J93</f>
        <v>371</v>
      </c>
      <c r="K92" s="72">
        <f>K93</f>
        <v>155</v>
      </c>
      <c r="L92" s="73">
        <f t="shared" si="10"/>
        <v>0.045980421239988134</v>
      </c>
      <c r="M92" s="73">
        <f t="shared" si="23"/>
        <v>0.41778975741239893</v>
      </c>
      <c r="N92" s="72">
        <f>K92-'[2]Februaris'!K92</f>
        <v>0</v>
      </c>
    </row>
    <row r="93" spans="1:104" s="67" customFormat="1" ht="12.75">
      <c r="A93" s="74" t="s">
        <v>119</v>
      </c>
      <c r="B93" s="75">
        <v>3371252</v>
      </c>
      <c r="C93" s="75">
        <v>371466</v>
      </c>
      <c r="D93" s="75">
        <v>154761</v>
      </c>
      <c r="E93" s="59">
        <f t="shared" si="24"/>
        <v>0.045906090674918396</v>
      </c>
      <c r="F93" s="59">
        <f t="shared" si="18"/>
        <v>0.41662224806577186</v>
      </c>
      <c r="G93" s="50">
        <f>D93-'[2]Februaris'!D93</f>
        <v>0</v>
      </c>
      <c r="H93" s="74" t="s">
        <v>119</v>
      </c>
      <c r="I93" s="75">
        <f>ROUND(B93/1000,0)</f>
        <v>3371</v>
      </c>
      <c r="J93" s="75">
        <f>ROUND(C93/1000,0)</f>
        <v>371</v>
      </c>
      <c r="K93" s="75">
        <f>ROUND(D93/1000,0)</f>
        <v>155</v>
      </c>
      <c r="L93" s="76">
        <f t="shared" si="10"/>
        <v>0.045980421239988134</v>
      </c>
      <c r="M93" s="76">
        <f t="shared" si="23"/>
        <v>0.41778975741239893</v>
      </c>
      <c r="N93" s="75">
        <f>K93-'[2]Februaris'!K93</f>
        <v>0</v>
      </c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</row>
    <row r="94" spans="1:14" s="64" customFormat="1" ht="12.75">
      <c r="A94" s="71" t="s">
        <v>137</v>
      </c>
      <c r="B94" s="72">
        <f>B95</f>
        <v>4282600</v>
      </c>
      <c r="C94" s="72">
        <f>C95</f>
        <v>292000</v>
      </c>
      <c r="D94" s="72">
        <f>D95</f>
        <v>114148</v>
      </c>
      <c r="E94" s="59">
        <f t="shared" si="24"/>
        <v>0.026653901835333674</v>
      </c>
      <c r="F94" s="59">
        <f t="shared" si="18"/>
        <v>0.3909178082191781</v>
      </c>
      <c r="G94" s="50">
        <f>D94-'[2]Februaris'!D94</f>
        <v>19585</v>
      </c>
      <c r="H94" s="71" t="s">
        <v>137</v>
      </c>
      <c r="I94" s="72">
        <f>I95</f>
        <v>4283</v>
      </c>
      <c r="J94" s="72">
        <f>J95</f>
        <v>292</v>
      </c>
      <c r="K94" s="72">
        <f>K95</f>
        <v>114</v>
      </c>
      <c r="L94" s="73">
        <f t="shared" si="10"/>
        <v>0.02661685734298389</v>
      </c>
      <c r="M94" s="73">
        <f t="shared" si="23"/>
        <v>0.3904109589041096</v>
      </c>
      <c r="N94" s="72">
        <f>K94-'[2]Februaris'!K94</f>
        <v>20</v>
      </c>
    </row>
    <row r="95" spans="1:104" s="67" customFormat="1" ht="12.75">
      <c r="A95" s="74" t="s">
        <v>119</v>
      </c>
      <c r="B95" s="75">
        <v>4282600</v>
      </c>
      <c r="C95" s="75">
        <v>292000</v>
      </c>
      <c r="D95" s="75">
        <v>114148</v>
      </c>
      <c r="E95" s="59">
        <f t="shared" si="24"/>
        <v>0.026653901835333674</v>
      </c>
      <c r="F95" s="59">
        <f t="shared" si="18"/>
        <v>0.3909178082191781</v>
      </c>
      <c r="G95" s="50">
        <f>D95-'[2]Februaris'!D95</f>
        <v>19585</v>
      </c>
      <c r="H95" s="74" t="s">
        <v>119</v>
      </c>
      <c r="I95" s="75">
        <f>ROUND(B95/1000,0)</f>
        <v>4283</v>
      </c>
      <c r="J95" s="75">
        <f>ROUND(C95/1000,0)</f>
        <v>292</v>
      </c>
      <c r="K95" s="75">
        <f>ROUND(D95/1000,0)</f>
        <v>114</v>
      </c>
      <c r="L95" s="76">
        <f t="shared" si="10"/>
        <v>0.02661685734298389</v>
      </c>
      <c r="M95" s="76">
        <f t="shared" si="23"/>
        <v>0.3904109589041096</v>
      </c>
      <c r="N95" s="75">
        <f>K95-'[2]Februaris'!K95</f>
        <v>20</v>
      </c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</row>
    <row r="96" spans="1:104" s="87" customFormat="1" ht="15" customHeight="1">
      <c r="A96" s="55" t="s">
        <v>138</v>
      </c>
      <c r="B96" s="88" t="s">
        <v>139</v>
      </c>
      <c r="C96" s="88" t="s">
        <v>139</v>
      </c>
      <c r="D96" s="50">
        <f>D97+D98</f>
        <v>1649252</v>
      </c>
      <c r="E96" s="89" t="s">
        <v>139</v>
      </c>
      <c r="F96" s="89" t="s">
        <v>139</v>
      </c>
      <c r="G96" s="50">
        <f>D96-'[2]Februaris'!D96</f>
        <v>263099</v>
      </c>
      <c r="H96" s="55" t="s">
        <v>138</v>
      </c>
      <c r="I96" s="88" t="s">
        <v>139</v>
      </c>
      <c r="J96" s="88" t="s">
        <v>139</v>
      </c>
      <c r="K96" s="52">
        <f>K97+K98</f>
        <v>1649</v>
      </c>
      <c r="L96" s="88" t="s">
        <v>139</v>
      </c>
      <c r="M96" s="88" t="s">
        <v>139</v>
      </c>
      <c r="N96" s="52">
        <f>K96-'[2]Februaris'!K96</f>
        <v>263</v>
      </c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</row>
    <row r="97" spans="1:104" s="67" customFormat="1" ht="12.75">
      <c r="A97" s="74" t="s">
        <v>118</v>
      </c>
      <c r="B97" s="75"/>
      <c r="C97" s="75"/>
      <c r="D97" s="75">
        <f>1386153+120753</f>
        <v>1506906</v>
      </c>
      <c r="E97" s="59"/>
      <c r="F97" s="59"/>
      <c r="G97" s="50">
        <f>D97-'[2]Februaris'!D97</f>
        <v>120753</v>
      </c>
      <c r="H97" s="74" t="s">
        <v>118</v>
      </c>
      <c r="I97" s="90" t="s">
        <v>139</v>
      </c>
      <c r="J97" s="90" t="s">
        <v>139</v>
      </c>
      <c r="K97" s="75">
        <f>ROUND(D97/1000,0)</f>
        <v>1507</v>
      </c>
      <c r="L97" s="90" t="s">
        <v>139</v>
      </c>
      <c r="M97" s="90" t="s">
        <v>139</v>
      </c>
      <c r="N97" s="75">
        <f>K97-'[2]Februaris'!K97</f>
        <v>121</v>
      </c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</row>
    <row r="98" spans="1:104" s="67" customFormat="1" ht="12.75">
      <c r="A98" s="74" t="s">
        <v>119</v>
      </c>
      <c r="B98" s="75"/>
      <c r="C98" s="75"/>
      <c r="D98" s="75">
        <v>142346</v>
      </c>
      <c r="E98" s="59"/>
      <c r="F98" s="59"/>
      <c r="G98" s="50">
        <f>D98-'[2]Februaris'!D98</f>
        <v>142346</v>
      </c>
      <c r="H98" s="74" t="s">
        <v>119</v>
      </c>
      <c r="I98" s="90" t="s">
        <v>139</v>
      </c>
      <c r="J98" s="90" t="s">
        <v>139</v>
      </c>
      <c r="K98" s="75">
        <f>ROUND(D98/1000,0)</f>
        <v>142</v>
      </c>
      <c r="L98" s="90" t="s">
        <v>139</v>
      </c>
      <c r="M98" s="90" t="s">
        <v>139</v>
      </c>
      <c r="N98" s="75">
        <f>K98-'[2]Februaris'!K98</f>
        <v>142</v>
      </c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</row>
    <row r="99" spans="7:14" ht="12.75">
      <c r="G99" s="2"/>
      <c r="H99" s="2"/>
      <c r="I99" s="2"/>
      <c r="J99" s="2"/>
      <c r="K99" s="2"/>
      <c r="L99" s="2"/>
      <c r="M99" s="2"/>
      <c r="N99" s="2"/>
    </row>
    <row r="100" spans="7:14" ht="12.75">
      <c r="G100" s="2"/>
      <c r="H100" s="2"/>
      <c r="I100" s="2"/>
      <c r="J100" s="2"/>
      <c r="K100" s="2"/>
      <c r="L100" s="2"/>
      <c r="M100" s="2"/>
      <c r="N100" s="2"/>
    </row>
    <row r="101" spans="7:14" ht="12.75"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43" t="s">
        <v>140</v>
      </c>
      <c r="B102" s="91"/>
      <c r="C102" s="92"/>
      <c r="D102" s="93"/>
      <c r="E102" s="93"/>
      <c r="F102" s="94"/>
      <c r="G102" s="2"/>
      <c r="H102" s="43"/>
      <c r="I102" s="91"/>
      <c r="J102" s="92"/>
      <c r="K102" s="93"/>
      <c r="L102" s="93"/>
      <c r="M102" s="94"/>
      <c r="N102" s="2"/>
    </row>
    <row r="103" spans="1:14" ht="12.75">
      <c r="A103" s="39"/>
      <c r="B103" s="95"/>
      <c r="C103" s="96" t="s">
        <v>141</v>
      </c>
      <c r="D103" s="97"/>
      <c r="E103" s="98"/>
      <c r="F103" s="99"/>
      <c r="G103" s="2"/>
      <c r="H103" s="32" t="s">
        <v>140</v>
      </c>
      <c r="I103" s="91"/>
      <c r="J103" s="92"/>
      <c r="K103" s="93"/>
      <c r="L103" s="93"/>
      <c r="M103" s="99"/>
      <c r="N103" s="2"/>
    </row>
    <row r="104" spans="1:14" ht="12.75">
      <c r="A104" s="2"/>
      <c r="B104" s="100"/>
      <c r="C104" s="96"/>
      <c r="D104" s="96"/>
      <c r="E104" s="101"/>
      <c r="F104" s="102"/>
      <c r="G104" s="2"/>
      <c r="H104" s="2"/>
      <c r="M104" s="94"/>
      <c r="N104" s="2"/>
    </row>
    <row r="105" spans="1:14" ht="12.75">
      <c r="A105" s="2" t="s">
        <v>142</v>
      </c>
      <c r="B105" s="100"/>
      <c r="C105" s="96"/>
      <c r="D105" s="96"/>
      <c r="E105" s="101"/>
      <c r="F105" s="102"/>
      <c r="G105" s="2"/>
      <c r="H105" s="2"/>
      <c r="I105" s="100"/>
      <c r="J105" s="96"/>
      <c r="K105" s="96"/>
      <c r="L105" s="101"/>
      <c r="M105" s="102"/>
      <c r="N105" s="2"/>
    </row>
    <row r="106" spans="1:14" ht="12.75">
      <c r="A106" s="2" t="s">
        <v>143</v>
      </c>
      <c r="B106" s="95"/>
      <c r="C106" s="96"/>
      <c r="D106" s="97"/>
      <c r="E106" s="98"/>
      <c r="F106" s="99"/>
      <c r="G106" s="2"/>
      <c r="J106" s="96"/>
      <c r="K106" s="97"/>
      <c r="L106" s="98"/>
      <c r="M106" s="99"/>
      <c r="N106" s="2"/>
    </row>
    <row r="108" spans="7:14" ht="12.75">
      <c r="G108" s="2"/>
      <c r="H108" s="2"/>
      <c r="I108" s="2"/>
      <c r="J108" s="2"/>
      <c r="K108" s="2"/>
      <c r="L108" s="2"/>
      <c r="M108" s="2"/>
      <c r="N108" s="2"/>
    </row>
    <row r="109" spans="7:14" ht="12.75">
      <c r="G109" s="2"/>
      <c r="H109" s="2"/>
      <c r="I109" s="2"/>
      <c r="J109" s="2"/>
      <c r="K109" s="2"/>
      <c r="L109" s="2"/>
      <c r="M109" s="2"/>
      <c r="N109" s="2"/>
    </row>
    <row r="110" spans="7:14" ht="12.75">
      <c r="G110" s="2"/>
      <c r="H110" s="2"/>
      <c r="I110" s="2"/>
      <c r="J110" s="2"/>
      <c r="K110" s="2"/>
      <c r="L110" s="2"/>
      <c r="M110" s="2"/>
      <c r="N110" s="2"/>
    </row>
    <row r="111" spans="7:14" ht="12.75">
      <c r="G111" s="2"/>
      <c r="H111" s="2"/>
      <c r="I111" s="2"/>
      <c r="J111" s="2"/>
      <c r="K111" s="2"/>
      <c r="L111" s="2"/>
      <c r="M111" s="2"/>
      <c r="N111" s="2"/>
    </row>
    <row r="112" spans="7:14" ht="12.75">
      <c r="G112" s="2"/>
      <c r="H112" s="2" t="s">
        <v>142</v>
      </c>
      <c r="I112" s="2"/>
      <c r="J112" s="2"/>
      <c r="K112" s="2"/>
      <c r="L112" s="2"/>
      <c r="M112" s="2"/>
      <c r="N112" s="2"/>
    </row>
    <row r="113" spans="7:14" ht="12.75">
      <c r="G113" s="2"/>
      <c r="H113" s="2" t="s">
        <v>144</v>
      </c>
      <c r="I113" s="2"/>
      <c r="J113" s="2"/>
      <c r="K113" s="2"/>
      <c r="L113" s="2"/>
      <c r="M113" s="2"/>
      <c r="N113" s="2"/>
    </row>
    <row r="114" spans="7:14" ht="12.75">
      <c r="G114" s="2"/>
      <c r="H114" s="2"/>
      <c r="I114" s="2"/>
      <c r="J114" s="2"/>
      <c r="K114" s="2"/>
      <c r="L114" s="2"/>
      <c r="M114" s="2"/>
      <c r="N114" s="2"/>
    </row>
    <row r="115" spans="7:14" ht="12.75">
      <c r="G115" s="2"/>
      <c r="H115" s="2"/>
      <c r="I115" s="2"/>
      <c r="J115" s="2"/>
      <c r="K115" s="2"/>
      <c r="L115" s="2"/>
      <c r="M115" s="2"/>
      <c r="N115" s="2"/>
    </row>
    <row r="116" spans="7:14" ht="12.75">
      <c r="G116" s="2"/>
      <c r="H116" s="2"/>
      <c r="I116" s="2"/>
      <c r="J116" s="2"/>
      <c r="K116" s="2"/>
      <c r="L116" s="2"/>
      <c r="M116" s="2"/>
      <c r="N116" s="2"/>
    </row>
    <row r="117" spans="7:14" ht="12.75">
      <c r="G117" s="2"/>
      <c r="H117" s="2"/>
      <c r="I117" s="2"/>
      <c r="J117" s="2"/>
      <c r="K117" s="2"/>
      <c r="L117" s="2"/>
      <c r="M117" s="2"/>
      <c r="N117" s="2"/>
    </row>
    <row r="118" spans="7:14" ht="12.75">
      <c r="G118" s="2"/>
      <c r="H118" s="2"/>
      <c r="I118" s="2"/>
      <c r="J118" s="2"/>
      <c r="K118" s="2"/>
      <c r="L118" s="2"/>
      <c r="M118" s="2"/>
      <c r="N118" s="2"/>
    </row>
    <row r="119" spans="7:14" ht="12.75">
      <c r="G119" s="2"/>
      <c r="I119" s="2"/>
      <c r="J119" s="2"/>
      <c r="K119" s="2"/>
      <c r="L119" s="2"/>
      <c r="M119" s="2"/>
      <c r="N119" s="2"/>
    </row>
    <row r="120" spans="7:14" ht="12.75">
      <c r="G120" s="2"/>
      <c r="I120" s="2"/>
      <c r="J120" s="2"/>
      <c r="K120" s="2"/>
      <c r="L120" s="2"/>
      <c r="M120" s="2"/>
      <c r="N120" s="2"/>
    </row>
    <row r="121" spans="7:14" ht="12.75">
      <c r="G121" s="2"/>
      <c r="H121" s="2"/>
      <c r="I121" s="2"/>
      <c r="J121" s="2"/>
      <c r="K121" s="2"/>
      <c r="L121" s="2"/>
      <c r="M121" s="2"/>
      <c r="N121" s="2"/>
    </row>
    <row r="122" spans="7:14" ht="12.75">
      <c r="G122" s="2"/>
      <c r="H122" s="2"/>
      <c r="I122" s="2"/>
      <c r="J122" s="2"/>
      <c r="K122" s="2"/>
      <c r="L122" s="2"/>
      <c r="M122" s="2"/>
      <c r="N122" s="2"/>
    </row>
    <row r="123" spans="7:14" ht="12.75">
      <c r="G123" s="2"/>
      <c r="H123" s="2"/>
      <c r="I123" s="2"/>
      <c r="J123" s="2"/>
      <c r="K123" s="2"/>
      <c r="L123" s="2"/>
      <c r="M123" s="2"/>
      <c r="N123" s="2"/>
    </row>
    <row r="124" spans="7:14" ht="12.75">
      <c r="G124" s="2"/>
      <c r="H124" s="2"/>
      <c r="I124" s="2"/>
      <c r="J124" s="2"/>
      <c r="K124" s="2"/>
      <c r="L124" s="2"/>
      <c r="M124" s="2"/>
      <c r="N124" s="2"/>
    </row>
    <row r="125" spans="7:14" ht="12.75">
      <c r="G125" s="2"/>
      <c r="H125" s="2"/>
      <c r="I125" s="2"/>
      <c r="J125" s="2"/>
      <c r="K125" s="2"/>
      <c r="L125" s="2"/>
      <c r="M125" s="2"/>
      <c r="N125" s="2"/>
    </row>
    <row r="126" spans="7:14" ht="12.75">
      <c r="G126" s="2"/>
      <c r="H126" s="2"/>
      <c r="I126" s="2"/>
      <c r="J126" s="2"/>
      <c r="K126" s="2"/>
      <c r="L126" s="2"/>
      <c r="M126" s="2"/>
      <c r="N126" s="2"/>
    </row>
    <row r="127" spans="7:14" ht="12.75">
      <c r="G127" s="2"/>
      <c r="H127" s="2"/>
      <c r="I127" s="2"/>
      <c r="J127" s="2"/>
      <c r="K127" s="2"/>
      <c r="L127" s="2"/>
      <c r="M127" s="2"/>
      <c r="N127" s="2"/>
    </row>
    <row r="128" spans="7:14" ht="12.75">
      <c r="G128" s="2"/>
      <c r="H128" s="2"/>
      <c r="I128" s="2"/>
      <c r="J128" s="2"/>
      <c r="K128" s="2"/>
      <c r="L128" s="2"/>
      <c r="M128" s="2"/>
      <c r="N128" s="2"/>
    </row>
    <row r="129" spans="7:14" ht="12.75">
      <c r="G129" s="2"/>
      <c r="H129" s="2"/>
      <c r="I129" s="2"/>
      <c r="J129" s="2"/>
      <c r="K129" s="2"/>
      <c r="L129" s="2"/>
      <c r="M129" s="2"/>
      <c r="N129" s="2"/>
    </row>
    <row r="130" spans="7:14" ht="12.75">
      <c r="G130" s="2"/>
      <c r="H130" s="2"/>
      <c r="I130" s="2"/>
      <c r="J130" s="2"/>
      <c r="K130" s="2"/>
      <c r="L130" s="2"/>
      <c r="M130" s="2"/>
      <c r="N130" s="2"/>
    </row>
    <row r="131" spans="7:14" ht="12.75">
      <c r="G131" s="2"/>
      <c r="H131" s="2"/>
      <c r="I131" s="2"/>
      <c r="J131" s="2"/>
      <c r="K131" s="2"/>
      <c r="L131" s="2"/>
      <c r="M131" s="2"/>
      <c r="N131" s="2"/>
    </row>
    <row r="132" spans="7:14" ht="12.75">
      <c r="G132" s="2"/>
      <c r="H132" s="2"/>
      <c r="I132" s="2"/>
      <c r="J132" s="2"/>
      <c r="K132" s="2"/>
      <c r="L132" s="2"/>
      <c r="M132" s="2"/>
      <c r="N132" s="2"/>
    </row>
    <row r="133" spans="7:14" ht="12.75">
      <c r="G133" s="2"/>
      <c r="H133" s="2"/>
      <c r="I133" s="2"/>
      <c r="J133" s="2"/>
      <c r="K133" s="2"/>
      <c r="L133" s="2"/>
      <c r="M133" s="2"/>
      <c r="N133" s="2"/>
    </row>
    <row r="134" spans="7:14" ht="12.75">
      <c r="G134" s="2"/>
      <c r="H134" s="2"/>
      <c r="I134" s="2"/>
      <c r="J134" s="2"/>
      <c r="K134" s="2"/>
      <c r="L134" s="2"/>
      <c r="M134" s="2"/>
      <c r="N134" s="2"/>
    </row>
    <row r="135" spans="7:14" ht="12.75">
      <c r="G135" s="2"/>
      <c r="H135" s="2"/>
      <c r="I135" s="2"/>
      <c r="J135" s="2"/>
      <c r="K135" s="2"/>
      <c r="L135" s="2"/>
      <c r="M135" s="2"/>
      <c r="N135" s="2"/>
    </row>
    <row r="136" spans="7:14" ht="12.75">
      <c r="G136" s="2"/>
      <c r="H136" s="2"/>
      <c r="I136" s="2"/>
      <c r="J136" s="2"/>
      <c r="K136" s="2"/>
      <c r="L136" s="2"/>
      <c r="M136" s="2"/>
      <c r="N136" s="2"/>
    </row>
    <row r="137" spans="7:14" ht="12.75">
      <c r="G137" s="2"/>
      <c r="H137" s="2"/>
      <c r="I137" s="2"/>
      <c r="J137" s="2"/>
      <c r="K137" s="2"/>
      <c r="L137" s="2"/>
      <c r="M137" s="2"/>
      <c r="N137" s="2"/>
    </row>
    <row r="138" spans="7:14" ht="12.75">
      <c r="G138" s="2"/>
      <c r="H138" s="2"/>
      <c r="I138" s="2"/>
      <c r="J138" s="2"/>
      <c r="K138" s="2"/>
      <c r="L138" s="2"/>
      <c r="M138" s="2"/>
      <c r="N138" s="2"/>
    </row>
    <row r="139" spans="7:14" ht="12.75">
      <c r="G139" s="2"/>
      <c r="H139" s="2"/>
      <c r="I139" s="2"/>
      <c r="J139" s="2"/>
      <c r="K139" s="2"/>
      <c r="L139" s="2"/>
      <c r="M139" s="2"/>
      <c r="N139" s="2"/>
    </row>
    <row r="140" spans="7:14" ht="12.75">
      <c r="G140" s="2"/>
      <c r="H140" s="2"/>
      <c r="I140" s="2"/>
      <c r="J140" s="2"/>
      <c r="K140" s="2"/>
      <c r="L140" s="2"/>
      <c r="M140" s="2"/>
      <c r="N140" s="2"/>
    </row>
    <row r="141" spans="7:14" ht="12.75">
      <c r="G141" s="2"/>
      <c r="H141" s="2"/>
      <c r="I141" s="2"/>
      <c r="J141" s="2"/>
      <c r="K141" s="2"/>
      <c r="L141" s="2"/>
      <c r="M141" s="2"/>
      <c r="N141" s="2"/>
    </row>
    <row r="142" spans="7:14" ht="12.75">
      <c r="G142" s="2"/>
      <c r="H142" s="2"/>
      <c r="I142" s="2"/>
      <c r="J142" s="2"/>
      <c r="K142" s="2"/>
      <c r="L142" s="2"/>
      <c r="M142" s="2"/>
      <c r="N142" s="2"/>
    </row>
    <row r="143" spans="7:14" ht="12.75">
      <c r="G143" s="2"/>
      <c r="H143" s="2"/>
      <c r="I143" s="2"/>
      <c r="J143" s="2"/>
      <c r="K143" s="2"/>
      <c r="L143" s="2"/>
      <c r="M143" s="2"/>
      <c r="N143" s="2"/>
    </row>
    <row r="144" spans="7:14" ht="12.75">
      <c r="G144" s="2"/>
      <c r="H144" s="2"/>
      <c r="I144" s="2"/>
      <c r="J144" s="2"/>
      <c r="K144" s="2"/>
      <c r="L144" s="2"/>
      <c r="M144" s="2"/>
      <c r="N144" s="2"/>
    </row>
    <row r="145" spans="7:14" ht="12.75">
      <c r="G145" s="2"/>
      <c r="H145" s="2"/>
      <c r="I145" s="2"/>
      <c r="J145" s="2"/>
      <c r="K145" s="2"/>
      <c r="L145" s="2"/>
      <c r="M145" s="2"/>
      <c r="N145" s="2"/>
    </row>
    <row r="146" spans="7:14" ht="12.75">
      <c r="G146" s="2"/>
      <c r="H146" s="2"/>
      <c r="I146" s="2"/>
      <c r="J146" s="2"/>
      <c r="K146" s="2"/>
      <c r="L146" s="2"/>
      <c r="M146" s="2"/>
      <c r="N146" s="2"/>
    </row>
    <row r="147" spans="7:14" ht="12.75">
      <c r="G147" s="2"/>
      <c r="H147" s="2"/>
      <c r="I147" s="2"/>
      <c r="J147" s="2"/>
      <c r="K147" s="2"/>
      <c r="L147" s="2"/>
      <c r="M147" s="2"/>
      <c r="N147" s="2"/>
    </row>
    <row r="148" spans="7:14" ht="12.75">
      <c r="G148" s="2"/>
      <c r="H148" s="2"/>
      <c r="I148" s="2"/>
      <c r="J148" s="2"/>
      <c r="K148" s="2"/>
      <c r="L148" s="2"/>
      <c r="M148" s="2"/>
      <c r="N148" s="2"/>
    </row>
    <row r="149" spans="7:14" ht="12.75">
      <c r="G149" s="2"/>
      <c r="H149" s="2"/>
      <c r="I149" s="2"/>
      <c r="J149" s="2"/>
      <c r="K149" s="2"/>
      <c r="L149" s="2"/>
      <c r="M149" s="2"/>
      <c r="N149" s="2"/>
    </row>
    <row r="150" spans="7:14" ht="12.75">
      <c r="G150" s="2"/>
      <c r="H150" s="2"/>
      <c r="I150" s="2"/>
      <c r="J150" s="2"/>
      <c r="K150" s="2"/>
      <c r="L150" s="2"/>
      <c r="M150" s="2"/>
      <c r="N150" s="2"/>
    </row>
    <row r="151" spans="7:14" ht="12.75">
      <c r="G151" s="2"/>
      <c r="H151" s="2"/>
      <c r="I151" s="2"/>
      <c r="J151" s="2"/>
      <c r="K151" s="2"/>
      <c r="L151" s="2"/>
      <c r="M151" s="2"/>
      <c r="N151" s="2"/>
    </row>
    <row r="152" spans="7:14" ht="12.75">
      <c r="G152" s="2"/>
      <c r="H152" s="2"/>
      <c r="I152" s="2"/>
      <c r="J152" s="2"/>
      <c r="K152" s="2"/>
      <c r="L152" s="2"/>
      <c r="M152" s="2"/>
      <c r="N152" s="2"/>
    </row>
    <row r="153" spans="7:14" ht="12.75">
      <c r="G153" s="2"/>
      <c r="H153" s="2"/>
      <c r="I153" s="2"/>
      <c r="J153" s="2"/>
      <c r="K153" s="2"/>
      <c r="L153" s="2"/>
      <c r="M153" s="2"/>
      <c r="N153" s="2"/>
    </row>
    <row r="154" spans="7:14" ht="12.75">
      <c r="G154" s="2"/>
      <c r="H154" s="2"/>
      <c r="I154" s="2"/>
      <c r="J154" s="2"/>
      <c r="K154" s="2"/>
      <c r="L154" s="2"/>
      <c r="M154" s="2"/>
      <c r="N154" s="2"/>
    </row>
    <row r="155" spans="7:14" ht="12.75">
      <c r="G155" s="2"/>
      <c r="H155" s="2"/>
      <c r="I155" s="2"/>
      <c r="J155" s="2"/>
      <c r="K155" s="2"/>
      <c r="L155" s="2"/>
      <c r="M155" s="2"/>
      <c r="N155" s="2"/>
    </row>
    <row r="156" spans="7:14" ht="12.75">
      <c r="G156" s="2"/>
      <c r="H156" s="2"/>
      <c r="I156" s="2"/>
      <c r="J156" s="2"/>
      <c r="K156" s="2"/>
      <c r="L156" s="2"/>
      <c r="M156" s="2"/>
      <c r="N156" s="2"/>
    </row>
    <row r="157" spans="7:14" ht="12.75">
      <c r="G157" s="2"/>
      <c r="H157" s="2"/>
      <c r="I157" s="2"/>
      <c r="J157" s="2"/>
      <c r="K157" s="2"/>
      <c r="L157" s="2"/>
      <c r="M157" s="2"/>
      <c r="N157" s="2"/>
    </row>
    <row r="158" spans="7:14" ht="12.75">
      <c r="G158" s="2"/>
      <c r="H158" s="2"/>
      <c r="I158" s="2"/>
      <c r="J158" s="2"/>
      <c r="K158" s="2"/>
      <c r="L158" s="2"/>
      <c r="M158" s="2"/>
      <c r="N158" s="2"/>
    </row>
    <row r="159" spans="7:14" ht="12.75">
      <c r="G159" s="2"/>
      <c r="H159" s="2"/>
      <c r="I159" s="2"/>
      <c r="J159" s="2"/>
      <c r="K159" s="2"/>
      <c r="L159" s="2"/>
      <c r="M159" s="2"/>
      <c r="N159" s="2"/>
    </row>
    <row r="160" spans="7:14" ht="12.75">
      <c r="G160" s="2"/>
      <c r="H160" s="2"/>
      <c r="I160" s="2"/>
      <c r="J160" s="2"/>
      <c r="K160" s="2"/>
      <c r="L160" s="2"/>
      <c r="M160" s="2"/>
      <c r="N160" s="2"/>
    </row>
    <row r="161" spans="7:14" ht="12.75">
      <c r="G161" s="2"/>
      <c r="H161" s="2"/>
      <c r="I161" s="2"/>
      <c r="J161" s="2"/>
      <c r="K161" s="2"/>
      <c r="L161" s="2"/>
      <c r="M161" s="2"/>
      <c r="N161" s="2"/>
    </row>
    <row r="162" spans="7:14" ht="12.75">
      <c r="G162" s="2"/>
      <c r="H162" s="2"/>
      <c r="I162" s="2"/>
      <c r="J162" s="2"/>
      <c r="K162" s="2"/>
      <c r="L162" s="2"/>
      <c r="M162" s="2"/>
      <c r="N162" s="2"/>
    </row>
    <row r="163" spans="7:14" ht="12.75">
      <c r="G163" s="2"/>
      <c r="H163" s="2"/>
      <c r="I163" s="2"/>
      <c r="J163" s="2"/>
      <c r="K163" s="2"/>
      <c r="L163" s="2"/>
      <c r="M163" s="2"/>
      <c r="N163" s="2"/>
    </row>
    <row r="164" spans="7:14" ht="12.75">
      <c r="G164" s="2"/>
      <c r="H164" s="2"/>
      <c r="I164" s="2"/>
      <c r="J164" s="2"/>
      <c r="K164" s="2"/>
      <c r="L164" s="2"/>
      <c r="M164" s="2"/>
      <c r="N164" s="2"/>
    </row>
    <row r="165" spans="7:14" ht="12.75">
      <c r="G165" s="2"/>
      <c r="H165" s="2"/>
      <c r="I165" s="2"/>
      <c r="J165" s="2"/>
      <c r="K165" s="2"/>
      <c r="L165" s="2"/>
      <c r="M165" s="2"/>
      <c r="N165" s="2"/>
    </row>
    <row r="166" spans="7:14" ht="12.75">
      <c r="G166" s="2"/>
      <c r="H166" s="2"/>
      <c r="I166" s="2"/>
      <c r="J166" s="2"/>
      <c r="K166" s="2"/>
      <c r="L166" s="2"/>
      <c r="M166" s="2"/>
      <c r="N166" s="2"/>
    </row>
    <row r="167" spans="7:14" ht="12.75">
      <c r="G167" s="2"/>
      <c r="H167" s="2"/>
      <c r="I167" s="2"/>
      <c r="J167" s="2"/>
      <c r="K167" s="2"/>
      <c r="L167" s="2"/>
      <c r="M167" s="2"/>
      <c r="N167" s="2"/>
    </row>
    <row r="168" spans="7:14" ht="12.75">
      <c r="G168" s="2"/>
      <c r="H168" s="2"/>
      <c r="I168" s="2"/>
      <c r="J168" s="2"/>
      <c r="K168" s="2"/>
      <c r="L168" s="2"/>
      <c r="M168" s="2"/>
      <c r="N168" s="2"/>
    </row>
    <row r="169" spans="7:14" ht="12.75">
      <c r="G169" s="2"/>
      <c r="H169" s="2"/>
      <c r="I169" s="2"/>
      <c r="J169" s="2"/>
      <c r="K169" s="2"/>
      <c r="L169" s="2"/>
      <c r="M169" s="2"/>
      <c r="N169" s="2"/>
    </row>
    <row r="170" spans="7:14" ht="12.75">
      <c r="G170" s="2"/>
      <c r="H170" s="2"/>
      <c r="I170" s="2"/>
      <c r="J170" s="2"/>
      <c r="K170" s="2"/>
      <c r="L170" s="2"/>
      <c r="M170" s="2"/>
      <c r="N170" s="2"/>
    </row>
    <row r="171" spans="7:14" ht="12.75">
      <c r="G171" s="2"/>
      <c r="H171" s="2"/>
      <c r="I171" s="2"/>
      <c r="J171" s="2"/>
      <c r="K171" s="2"/>
      <c r="L171" s="2"/>
      <c r="M171" s="2"/>
      <c r="N171" s="2"/>
    </row>
    <row r="172" spans="7:14" ht="12.75">
      <c r="G172" s="2"/>
      <c r="H172" s="2"/>
      <c r="I172" s="2"/>
      <c r="J172" s="2"/>
      <c r="K172" s="2"/>
      <c r="L172" s="2"/>
      <c r="M172" s="2"/>
      <c r="N172" s="2"/>
    </row>
    <row r="173" spans="7:14" ht="12.75">
      <c r="G173" s="2"/>
      <c r="H173" s="2"/>
      <c r="I173" s="2"/>
      <c r="J173" s="2"/>
      <c r="K173" s="2"/>
      <c r="L173" s="2"/>
      <c r="M173" s="2"/>
      <c r="N173" s="2"/>
    </row>
    <row r="174" spans="7:14" ht="12.75">
      <c r="G174" s="2"/>
      <c r="H174" s="2"/>
      <c r="I174" s="2"/>
      <c r="J174" s="2"/>
      <c r="K174" s="2"/>
      <c r="L174" s="2"/>
      <c r="M174" s="2"/>
      <c r="N174" s="2"/>
    </row>
    <row r="175" spans="7:14" ht="12.75">
      <c r="G175" s="2"/>
      <c r="H175" s="2"/>
      <c r="I175" s="2"/>
      <c r="J175" s="2"/>
      <c r="K175" s="2"/>
      <c r="L175" s="2"/>
      <c r="M175" s="2"/>
      <c r="N175" s="2"/>
    </row>
    <row r="176" spans="7:14" ht="12.75">
      <c r="G176" s="2"/>
      <c r="H176" s="2"/>
      <c r="I176" s="2"/>
      <c r="J176" s="2"/>
      <c r="K176" s="2"/>
      <c r="L176" s="2"/>
      <c r="M176" s="2"/>
      <c r="N176" s="2"/>
    </row>
    <row r="177" spans="7:14" ht="12.75">
      <c r="G177" s="2"/>
      <c r="H177" s="2"/>
      <c r="I177" s="2"/>
      <c r="J177" s="2"/>
      <c r="K177" s="2"/>
      <c r="L177" s="2"/>
      <c r="M177" s="2"/>
      <c r="N177" s="2"/>
    </row>
    <row r="178" spans="7:14" ht="12.75">
      <c r="G178" s="2"/>
      <c r="H178" s="2"/>
      <c r="I178" s="2"/>
      <c r="J178" s="2"/>
      <c r="K178" s="2"/>
      <c r="L178" s="2"/>
      <c r="M178" s="2"/>
      <c r="N178" s="2"/>
    </row>
    <row r="179" spans="7:14" ht="12.75">
      <c r="G179" s="2"/>
      <c r="H179" s="2"/>
      <c r="I179" s="2"/>
      <c r="J179" s="2"/>
      <c r="K179" s="2"/>
      <c r="L179" s="2"/>
      <c r="M179" s="2"/>
      <c r="N179" s="2"/>
    </row>
    <row r="180" spans="7:14" ht="12.75">
      <c r="G180" s="2"/>
      <c r="H180" s="2"/>
      <c r="I180" s="2"/>
      <c r="J180" s="2"/>
      <c r="K180" s="2"/>
      <c r="L180" s="2"/>
      <c r="M180" s="2"/>
      <c r="N180" s="2"/>
    </row>
    <row r="181" spans="7:14" ht="12.75">
      <c r="G181" s="2"/>
      <c r="H181" s="2"/>
      <c r="I181" s="2"/>
      <c r="J181" s="2"/>
      <c r="K181" s="2"/>
      <c r="L181" s="2"/>
      <c r="M181" s="2"/>
      <c r="N181" s="2"/>
    </row>
    <row r="182" spans="7:14" ht="12.75">
      <c r="G182" s="2"/>
      <c r="H182" s="2"/>
      <c r="I182" s="2"/>
      <c r="J182" s="2"/>
      <c r="K182" s="2"/>
      <c r="L182" s="2"/>
      <c r="M182" s="2"/>
      <c r="N182" s="2"/>
    </row>
    <row r="183" spans="7:14" ht="12.75">
      <c r="G183" s="2"/>
      <c r="H183" s="2"/>
      <c r="I183" s="2"/>
      <c r="J183" s="2"/>
      <c r="K183" s="2"/>
      <c r="L183" s="2"/>
      <c r="M183" s="2"/>
      <c r="N183" s="2"/>
    </row>
    <row r="184" spans="7:14" ht="12.75">
      <c r="G184" s="2"/>
      <c r="H184" s="2"/>
      <c r="I184" s="2"/>
      <c r="J184" s="2"/>
      <c r="K184" s="2"/>
      <c r="L184" s="2"/>
      <c r="M184" s="2"/>
      <c r="N184" s="2"/>
    </row>
    <row r="185" spans="7:14" ht="12.75">
      <c r="G185" s="2"/>
      <c r="H185" s="2"/>
      <c r="I185" s="2"/>
      <c r="J185" s="2"/>
      <c r="K185" s="2"/>
      <c r="L185" s="2"/>
      <c r="M185" s="2"/>
      <c r="N185" s="2"/>
    </row>
    <row r="186" spans="7:14" ht="12.75">
      <c r="G186" s="2"/>
      <c r="H186" s="2"/>
      <c r="I186" s="2"/>
      <c r="J186" s="2"/>
      <c r="K186" s="2"/>
      <c r="L186" s="2"/>
      <c r="M186" s="2"/>
      <c r="N186" s="2"/>
    </row>
    <row r="187" spans="7:14" ht="12.75">
      <c r="G187" s="2"/>
      <c r="H187" s="2"/>
      <c r="I187" s="2"/>
      <c r="J187" s="2"/>
      <c r="K187" s="2"/>
      <c r="L187" s="2"/>
      <c r="M187" s="2"/>
      <c r="N187" s="2"/>
    </row>
    <row r="188" spans="7:14" ht="12.75">
      <c r="G188" s="2"/>
      <c r="H188" s="2"/>
      <c r="I188" s="2"/>
      <c r="J188" s="2"/>
      <c r="K188" s="2"/>
      <c r="L188" s="2"/>
      <c r="M188" s="2"/>
      <c r="N188" s="2"/>
    </row>
    <row r="189" spans="7:14" ht="12.75">
      <c r="G189" s="2"/>
      <c r="H189" s="2"/>
      <c r="I189" s="2"/>
      <c r="J189" s="2"/>
      <c r="K189" s="2"/>
      <c r="L189" s="2"/>
      <c r="M189" s="2"/>
      <c r="N189" s="2"/>
    </row>
    <row r="190" spans="7:14" ht="12.75"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N125"/>
  <sheetViews>
    <sheetView workbookViewId="0" topLeftCell="A3">
      <selection activeCell="A24" sqref="A24"/>
    </sheetView>
  </sheetViews>
  <sheetFormatPr defaultColWidth="9.140625" defaultRowHeight="12.75"/>
  <cols>
    <col min="1" max="1" width="58.57421875" style="430" customWidth="1"/>
    <col min="2" max="2" width="9.8515625" style="430" customWidth="1"/>
    <col min="3" max="3" width="11.00390625" style="430" customWidth="1"/>
    <col min="4" max="4" width="10.421875" style="430" customWidth="1"/>
    <col min="5" max="5" width="11.140625" style="430" customWidth="1"/>
    <col min="6" max="16384" width="8.00390625" style="430" customWidth="1"/>
  </cols>
  <sheetData>
    <row r="1" spans="1:5" ht="12.75">
      <c r="A1" s="429" t="s">
        <v>146</v>
      </c>
      <c r="B1" s="429"/>
      <c r="C1" s="429"/>
      <c r="D1" s="429"/>
      <c r="E1" s="527" t="s">
        <v>11</v>
      </c>
    </row>
    <row r="2" spans="1:5" ht="12.75">
      <c r="A2" s="444"/>
      <c r="B2" s="444"/>
      <c r="C2" s="444"/>
      <c r="D2" s="444"/>
      <c r="E2" s="444"/>
    </row>
    <row r="3" spans="1:5" ht="18">
      <c r="A3" s="543" t="s">
        <v>12</v>
      </c>
      <c r="B3" s="676"/>
      <c r="C3" s="429"/>
      <c r="D3" s="429"/>
      <c r="E3" s="429"/>
    </row>
    <row r="4" spans="1:5" ht="18">
      <c r="A4" s="543" t="s">
        <v>13</v>
      </c>
      <c r="B4" s="676"/>
      <c r="C4" s="429"/>
      <c r="D4" s="429"/>
      <c r="E4" s="429"/>
    </row>
    <row r="5" spans="1:5" ht="18">
      <c r="A5" s="677"/>
      <c r="B5" s="677"/>
      <c r="C5" s="678"/>
      <c r="D5" s="528"/>
      <c r="E5" s="528" t="s">
        <v>109</v>
      </c>
    </row>
    <row r="6" spans="1:5" ht="35.25" customHeight="1">
      <c r="A6" s="645" t="s">
        <v>59</v>
      </c>
      <c r="B6" s="646" t="s">
        <v>540</v>
      </c>
      <c r="C6" s="646" t="s">
        <v>112</v>
      </c>
      <c r="D6" s="646" t="s">
        <v>150</v>
      </c>
      <c r="E6" s="649" t="s">
        <v>377</v>
      </c>
    </row>
    <row r="7" spans="1:5" s="525" customFormat="1" ht="12.75" customHeight="1">
      <c r="A7" s="603">
        <v>1</v>
      </c>
      <c r="B7" s="650">
        <v>2</v>
      </c>
      <c r="C7" s="650">
        <v>3</v>
      </c>
      <c r="D7" s="650">
        <v>4</v>
      </c>
      <c r="E7" s="651">
        <v>5</v>
      </c>
    </row>
    <row r="8" spans="1:5" ht="16.5" customHeight="1">
      <c r="A8" s="630" t="s">
        <v>14</v>
      </c>
      <c r="B8" s="656"/>
      <c r="C8" s="656">
        <f>C16+C20</f>
        <v>104901</v>
      </c>
      <c r="D8" s="518"/>
      <c r="E8" s="679">
        <f>E16+E20</f>
        <v>42781</v>
      </c>
    </row>
    <row r="9" spans="1:5" ht="12">
      <c r="A9" s="680" t="s">
        <v>15</v>
      </c>
      <c r="B9" s="656"/>
      <c r="C9" s="656">
        <f>SUM(C10:C13)</f>
        <v>99147</v>
      </c>
      <c r="D9" s="518"/>
      <c r="E9" s="679">
        <f>SUM(E10:E13)</f>
        <v>38673</v>
      </c>
    </row>
    <row r="10" spans="1:5" ht="12">
      <c r="A10" s="680" t="s">
        <v>16</v>
      </c>
      <c r="B10" s="656"/>
      <c r="C10" s="656">
        <v>55543</v>
      </c>
      <c r="D10" s="518"/>
      <c r="E10" s="679">
        <v>23313</v>
      </c>
    </row>
    <row r="11" spans="1:5" ht="12">
      <c r="A11" s="680" t="s">
        <v>17</v>
      </c>
      <c r="B11" s="656"/>
      <c r="C11" s="656">
        <v>4243</v>
      </c>
      <c r="D11" s="518"/>
      <c r="E11" s="679">
        <v>1576</v>
      </c>
    </row>
    <row r="12" spans="1:5" ht="12">
      <c r="A12" s="680" t="s">
        <v>18</v>
      </c>
      <c r="B12" s="656"/>
      <c r="C12" s="656">
        <v>6901</v>
      </c>
      <c r="D12" s="518"/>
      <c r="E12" s="679">
        <v>2404</v>
      </c>
    </row>
    <row r="13" spans="1:5" ht="12">
      <c r="A13" s="680" t="s">
        <v>19</v>
      </c>
      <c r="B13" s="656"/>
      <c r="C13" s="656">
        <v>32460</v>
      </c>
      <c r="D13" s="518"/>
      <c r="E13" s="679">
        <v>11380</v>
      </c>
    </row>
    <row r="14" spans="1:5" ht="12">
      <c r="A14" s="681" t="s">
        <v>20</v>
      </c>
      <c r="B14" s="656"/>
      <c r="C14" s="656">
        <v>1614</v>
      </c>
      <c r="D14" s="518"/>
      <c r="E14" s="679">
        <v>843</v>
      </c>
    </row>
    <row r="15" spans="1:5" ht="22.5">
      <c r="A15" s="681" t="s">
        <v>21</v>
      </c>
      <c r="B15" s="656"/>
      <c r="C15" s="656">
        <v>6061</v>
      </c>
      <c r="D15" s="518"/>
      <c r="E15" s="679">
        <v>2021</v>
      </c>
    </row>
    <row r="16" spans="1:5" ht="19.5" customHeight="1">
      <c r="A16" s="630" t="s">
        <v>22</v>
      </c>
      <c r="B16" s="656"/>
      <c r="C16" s="656">
        <f>C9-C14-C15</f>
        <v>91472</v>
      </c>
      <c r="D16" s="518"/>
      <c r="E16" s="679">
        <f>E9-E14-E15</f>
        <v>35809</v>
      </c>
    </row>
    <row r="17" spans="1:5" ht="12">
      <c r="A17" s="680" t="s">
        <v>23</v>
      </c>
      <c r="B17" s="656"/>
      <c r="C17" s="656">
        <f>SUM(C18:C19)</f>
        <v>13429</v>
      </c>
      <c r="D17" s="518"/>
      <c r="E17" s="679">
        <f>SUM(E18:E19)</f>
        <v>6972</v>
      </c>
    </row>
    <row r="18" spans="1:5" ht="12">
      <c r="A18" s="680" t="s">
        <v>24</v>
      </c>
      <c r="B18" s="656"/>
      <c r="C18" s="656">
        <v>12736</v>
      </c>
      <c r="D18" s="518"/>
      <c r="E18" s="679">
        <v>6868</v>
      </c>
    </row>
    <row r="19" spans="1:5" ht="12">
      <c r="A19" s="680" t="s">
        <v>25</v>
      </c>
      <c r="B19" s="656"/>
      <c r="C19" s="656">
        <v>693</v>
      </c>
      <c r="D19" s="518"/>
      <c r="E19" s="679">
        <v>104</v>
      </c>
    </row>
    <row r="20" spans="1:5" ht="23.25" customHeight="1">
      <c r="A20" s="630" t="s">
        <v>26</v>
      </c>
      <c r="B20" s="656"/>
      <c r="C20" s="656">
        <v>13429</v>
      </c>
      <c r="D20" s="518"/>
      <c r="E20" s="679">
        <v>6972</v>
      </c>
    </row>
    <row r="21" spans="1:5" ht="35.25" customHeight="1">
      <c r="A21" s="630" t="s">
        <v>27</v>
      </c>
      <c r="B21" s="656"/>
      <c r="C21" s="656">
        <f>SUM(C22:C24)</f>
        <v>96250</v>
      </c>
      <c r="D21" s="518"/>
      <c r="E21" s="679">
        <f>SUM(E22:E24)</f>
        <v>35398</v>
      </c>
    </row>
    <row r="22" spans="1:5" ht="34.5" customHeight="1">
      <c r="A22" s="632" t="s">
        <v>28</v>
      </c>
      <c r="B22" s="656"/>
      <c r="C22" s="656">
        <f>C34+C43</f>
        <v>85192</v>
      </c>
      <c r="D22" s="518"/>
      <c r="E22" s="679">
        <f>E34+E43</f>
        <v>31183</v>
      </c>
    </row>
    <row r="23" spans="1:5" ht="30.75" customHeight="1">
      <c r="A23" s="632" t="s">
        <v>29</v>
      </c>
      <c r="B23" s="656"/>
      <c r="C23" s="656">
        <f>C35+C44</f>
        <v>5474</v>
      </c>
      <c r="D23" s="518"/>
      <c r="E23" s="679">
        <f>E35+E44</f>
        <v>2188</v>
      </c>
    </row>
    <row r="24" spans="1:5" ht="31.5" customHeight="1">
      <c r="A24" s="632" t="s">
        <v>30</v>
      </c>
      <c r="B24" s="656"/>
      <c r="C24" s="656">
        <f>C36+C45</f>
        <v>5584</v>
      </c>
      <c r="D24" s="518"/>
      <c r="E24" s="679">
        <f>E36+E45</f>
        <v>2027</v>
      </c>
    </row>
    <row r="25" spans="1:5" ht="59.25" customHeight="1">
      <c r="A25" s="630" t="s">
        <v>31</v>
      </c>
      <c r="B25" s="656"/>
      <c r="C25" s="656">
        <f>C8-C21</f>
        <v>8651</v>
      </c>
      <c r="D25" s="656"/>
      <c r="E25" s="679">
        <f>E8-E21</f>
        <v>7383</v>
      </c>
    </row>
    <row r="26" spans="1:5" ht="30" customHeight="1">
      <c r="A26" s="630" t="s">
        <v>32</v>
      </c>
      <c r="B26" s="656"/>
      <c r="C26" s="656">
        <f>C38+C47</f>
        <v>467</v>
      </c>
      <c r="D26" s="656"/>
      <c r="E26" s="679">
        <f>E38+E47</f>
        <v>418</v>
      </c>
    </row>
    <row r="27" spans="1:5" ht="38.25" customHeight="1">
      <c r="A27" s="630" t="s">
        <v>33</v>
      </c>
      <c r="B27" s="656"/>
      <c r="C27" s="656">
        <f>C21+C26</f>
        <v>96717</v>
      </c>
      <c r="D27" s="518"/>
      <c r="E27" s="679">
        <f>E21+E26</f>
        <v>35816</v>
      </c>
    </row>
    <row r="28" spans="1:5" ht="41.25" customHeight="1">
      <c r="A28" s="630" t="s">
        <v>34</v>
      </c>
      <c r="B28" s="656"/>
      <c r="C28" s="656">
        <f>SUM(C25-C26)</f>
        <v>8184</v>
      </c>
      <c r="D28" s="656"/>
      <c r="E28" s="679">
        <f>SUM(E25-E26)</f>
        <v>6965</v>
      </c>
    </row>
    <row r="29" spans="1:5" ht="18.75" customHeight="1">
      <c r="A29" s="682" t="s">
        <v>35</v>
      </c>
      <c r="B29" s="656"/>
      <c r="C29" s="656">
        <v>94387</v>
      </c>
      <c r="D29" s="518"/>
      <c r="E29" s="679">
        <v>34420</v>
      </c>
    </row>
    <row r="30" spans="1:5" ht="12">
      <c r="A30" s="681" t="s">
        <v>36</v>
      </c>
      <c r="B30" s="656"/>
      <c r="C30" s="656">
        <f>C14+C15</f>
        <v>7675</v>
      </c>
      <c r="D30" s="518"/>
      <c r="E30" s="679">
        <f>E14+E15</f>
        <v>2864</v>
      </c>
    </row>
    <row r="31" spans="1:5" ht="17.25" customHeight="1">
      <c r="A31" s="682" t="s">
        <v>37</v>
      </c>
      <c r="B31" s="656"/>
      <c r="C31" s="656">
        <f>SUM(C29-C30)</f>
        <v>86712</v>
      </c>
      <c r="D31" s="518"/>
      <c r="E31" s="679">
        <f>SUM(E29-E30)</f>
        <v>31556</v>
      </c>
    </row>
    <row r="32" spans="1:5" ht="15.75" customHeight="1">
      <c r="A32" s="683" t="s">
        <v>38</v>
      </c>
      <c r="B32" s="656"/>
      <c r="C32" s="656">
        <v>85200</v>
      </c>
      <c r="D32" s="518"/>
      <c r="E32" s="679">
        <v>31075</v>
      </c>
    </row>
    <row r="33" spans="1:5" ht="12">
      <c r="A33" s="681" t="s">
        <v>36</v>
      </c>
      <c r="B33" s="656"/>
      <c r="C33" s="656">
        <f>C14+C15</f>
        <v>7675</v>
      </c>
      <c r="D33" s="518"/>
      <c r="E33" s="679">
        <f>E14+E15</f>
        <v>2864</v>
      </c>
    </row>
    <row r="34" spans="1:5" ht="12">
      <c r="A34" s="683" t="s">
        <v>39</v>
      </c>
      <c r="B34" s="656"/>
      <c r="C34" s="656">
        <f>C32-C33</f>
        <v>77525</v>
      </c>
      <c r="D34" s="518"/>
      <c r="E34" s="679">
        <f>E32-E33</f>
        <v>28211</v>
      </c>
    </row>
    <row r="35" spans="1:5" ht="12">
      <c r="A35" s="683" t="s">
        <v>40</v>
      </c>
      <c r="B35" s="656"/>
      <c r="C35" s="656">
        <v>3607</v>
      </c>
      <c r="D35" s="518"/>
      <c r="E35" s="679">
        <v>1319</v>
      </c>
    </row>
    <row r="36" spans="1:5" ht="12">
      <c r="A36" s="683" t="s">
        <v>41</v>
      </c>
      <c r="B36" s="656"/>
      <c r="C36" s="656">
        <v>5580</v>
      </c>
      <c r="D36" s="518"/>
      <c r="E36" s="679">
        <v>2026</v>
      </c>
    </row>
    <row r="37" spans="1:6" s="685" customFormat="1" ht="42" customHeight="1">
      <c r="A37" s="630" t="s">
        <v>42</v>
      </c>
      <c r="B37" s="656"/>
      <c r="C37" s="656">
        <f>C16-C31</f>
        <v>4760</v>
      </c>
      <c r="D37" s="518"/>
      <c r="E37" s="679">
        <f>E16-E31</f>
        <v>4253</v>
      </c>
      <c r="F37" s="684"/>
    </row>
    <row r="38" spans="1:6" s="685" customFormat="1" ht="27" customHeight="1">
      <c r="A38" s="682" t="s">
        <v>43</v>
      </c>
      <c r="B38" s="656"/>
      <c r="C38" s="656">
        <f>C39-C40</f>
        <v>-53</v>
      </c>
      <c r="D38" s="656"/>
      <c r="E38" s="679">
        <f>E39-E40</f>
        <v>-72</v>
      </c>
      <c r="F38" s="684"/>
    </row>
    <row r="39" spans="1:6" s="685" customFormat="1" ht="15.75" customHeight="1">
      <c r="A39" s="683" t="s">
        <v>44</v>
      </c>
      <c r="B39" s="656"/>
      <c r="C39" s="656">
        <v>101</v>
      </c>
      <c r="D39" s="656"/>
      <c r="E39" s="679">
        <v>15</v>
      </c>
      <c r="F39" s="684"/>
    </row>
    <row r="40" spans="1:6" s="685" customFormat="1" ht="18" customHeight="1">
      <c r="A40" s="683" t="s">
        <v>45</v>
      </c>
      <c r="B40" s="656"/>
      <c r="C40" s="656">
        <v>154</v>
      </c>
      <c r="D40" s="656"/>
      <c r="E40" s="679">
        <v>87</v>
      </c>
      <c r="F40" s="684"/>
    </row>
    <row r="41" spans="1:6" s="685" customFormat="1" ht="38.25" customHeight="1">
      <c r="A41" s="630" t="s">
        <v>46</v>
      </c>
      <c r="B41" s="656"/>
      <c r="C41" s="656">
        <f>SUM(C37-C38)</f>
        <v>4813</v>
      </c>
      <c r="D41" s="518"/>
      <c r="E41" s="679">
        <f>SUM(E37-E38)</f>
        <v>4325</v>
      </c>
      <c r="F41" s="684"/>
    </row>
    <row r="42" spans="1:6" s="685" customFormat="1" ht="23.25" customHeight="1">
      <c r="A42" s="682" t="s">
        <v>47</v>
      </c>
      <c r="B42" s="656"/>
      <c r="C42" s="656">
        <f>SUM(C43:C45)</f>
        <v>9538</v>
      </c>
      <c r="D42" s="518"/>
      <c r="E42" s="679">
        <f>SUM(E43:E45)</f>
        <v>3842</v>
      </c>
      <c r="F42" s="684"/>
    </row>
    <row r="43" spans="1:6" s="685" customFormat="1" ht="12">
      <c r="A43" s="683" t="s">
        <v>48</v>
      </c>
      <c r="B43" s="656"/>
      <c r="C43" s="656">
        <v>7667</v>
      </c>
      <c r="D43" s="518"/>
      <c r="E43" s="679">
        <v>2972</v>
      </c>
      <c r="F43" s="684"/>
    </row>
    <row r="44" spans="1:6" s="685" customFormat="1" ht="12">
      <c r="A44" s="683" t="s">
        <v>49</v>
      </c>
      <c r="B44" s="656"/>
      <c r="C44" s="656">
        <v>1867</v>
      </c>
      <c r="D44" s="518"/>
      <c r="E44" s="679">
        <v>869</v>
      </c>
      <c r="F44" s="684"/>
    </row>
    <row r="45" spans="1:6" s="685" customFormat="1" ht="12">
      <c r="A45" s="683" t="s">
        <v>50</v>
      </c>
      <c r="B45" s="656"/>
      <c r="C45" s="656">
        <v>4</v>
      </c>
      <c r="D45" s="518"/>
      <c r="E45" s="679">
        <v>1</v>
      </c>
      <c r="F45" s="684"/>
    </row>
    <row r="46" spans="1:14" s="685" customFormat="1" ht="46.5" customHeight="1">
      <c r="A46" s="630" t="s">
        <v>51</v>
      </c>
      <c r="B46" s="656"/>
      <c r="C46" s="656">
        <f>SUM(C20-C42)</f>
        <v>3891</v>
      </c>
      <c r="D46" s="656"/>
      <c r="E46" s="679">
        <f>SUM(E20-E42)</f>
        <v>3130</v>
      </c>
      <c r="F46" s="684"/>
      <c r="N46" s="444"/>
    </row>
    <row r="47" spans="1:6" s="685" customFormat="1" ht="18.75" customHeight="1">
      <c r="A47" s="682" t="s">
        <v>52</v>
      </c>
      <c r="B47" s="656"/>
      <c r="C47" s="656">
        <f>C48-C49</f>
        <v>520</v>
      </c>
      <c r="D47" s="656"/>
      <c r="E47" s="679">
        <f>E48-E49</f>
        <v>490</v>
      </c>
      <c r="F47" s="684"/>
    </row>
    <row r="48" spans="1:6" s="685" customFormat="1" ht="12">
      <c r="A48" s="683" t="s">
        <v>53</v>
      </c>
      <c r="B48" s="656"/>
      <c r="C48" s="656">
        <v>962</v>
      </c>
      <c r="D48" s="656"/>
      <c r="E48" s="679">
        <v>620</v>
      </c>
      <c r="F48" s="684"/>
    </row>
    <row r="49" spans="1:6" s="685" customFormat="1" ht="12">
      <c r="A49" s="683" t="s">
        <v>54</v>
      </c>
      <c r="B49" s="656"/>
      <c r="C49" s="656">
        <v>442</v>
      </c>
      <c r="E49" s="679">
        <v>130</v>
      </c>
      <c r="F49" s="684"/>
    </row>
    <row r="50" spans="1:6" s="685" customFormat="1" ht="46.5" customHeight="1">
      <c r="A50" s="686" t="s">
        <v>55</v>
      </c>
      <c r="B50" s="658"/>
      <c r="C50" s="658">
        <f>SUM(C46-C47)</f>
        <v>3371</v>
      </c>
      <c r="D50" s="687"/>
      <c r="E50" s="688">
        <f>SUM(E46-E47)</f>
        <v>2640</v>
      </c>
      <c r="F50" s="684"/>
    </row>
    <row r="51" s="444" customFormat="1" ht="12.75">
      <c r="A51" s="539"/>
    </row>
    <row r="52" s="444" customFormat="1" ht="12.75">
      <c r="A52" s="539"/>
    </row>
    <row r="53" s="444" customFormat="1" ht="12.75">
      <c r="A53" s="539"/>
    </row>
    <row r="54" s="444" customFormat="1" ht="12.75">
      <c r="A54" s="539"/>
    </row>
    <row r="55" s="444" customFormat="1" ht="12.75">
      <c r="A55" s="539"/>
    </row>
    <row r="56" s="444" customFormat="1" ht="12.75">
      <c r="A56" s="539"/>
    </row>
    <row r="57" spans="1:4" s="444" customFormat="1" ht="12.75">
      <c r="A57" s="494" t="s">
        <v>56</v>
      </c>
      <c r="B57" s="689"/>
      <c r="C57" s="473"/>
      <c r="D57" s="473" t="s">
        <v>576</v>
      </c>
    </row>
    <row r="58" s="444" customFormat="1" ht="12.75">
      <c r="A58" s="539"/>
    </row>
    <row r="59" s="444" customFormat="1" ht="12.75">
      <c r="A59" s="539"/>
    </row>
    <row r="60" s="444" customFormat="1" ht="12.75">
      <c r="A60" s="539"/>
    </row>
    <row r="61" s="444" customFormat="1" ht="12.75">
      <c r="A61" s="539"/>
    </row>
    <row r="62" s="444" customFormat="1" ht="12.75">
      <c r="A62" s="539"/>
    </row>
    <row r="63" s="444" customFormat="1" ht="12.75">
      <c r="A63" s="539"/>
    </row>
    <row r="64" s="444" customFormat="1" ht="12.75">
      <c r="A64" s="539"/>
    </row>
    <row r="65" s="444" customFormat="1" ht="12.75">
      <c r="A65" s="587" t="s">
        <v>716</v>
      </c>
    </row>
    <row r="66" s="444" customFormat="1" ht="12.75">
      <c r="A66" s="587" t="s">
        <v>717</v>
      </c>
    </row>
    <row r="67" s="444" customFormat="1" ht="12.75">
      <c r="A67" s="539"/>
    </row>
    <row r="68" s="444" customFormat="1" ht="12.75">
      <c r="A68" s="539"/>
    </row>
    <row r="69" s="444" customFormat="1" ht="12.75">
      <c r="A69" s="587"/>
    </row>
    <row r="72" s="444" customFormat="1" ht="12.75">
      <c r="A72" s="539"/>
    </row>
    <row r="73" s="444" customFormat="1" ht="12.75">
      <c r="A73" s="539"/>
    </row>
    <row r="74" s="444" customFormat="1" ht="12.75">
      <c r="A74" s="539"/>
    </row>
    <row r="75" s="444" customFormat="1" ht="12.75">
      <c r="A75" s="539"/>
    </row>
    <row r="76" s="444" customFormat="1" ht="12.75">
      <c r="A76" s="539"/>
    </row>
    <row r="77" s="444" customFormat="1" ht="12.75">
      <c r="A77" s="539"/>
    </row>
    <row r="78" s="444" customFormat="1" ht="12.75">
      <c r="A78" s="539"/>
    </row>
    <row r="79" ht="11.25">
      <c r="A79" s="540"/>
    </row>
    <row r="80" ht="11.25">
      <c r="A80" s="540"/>
    </row>
    <row r="81" ht="11.25">
      <c r="A81" s="540"/>
    </row>
    <row r="82" ht="11.25">
      <c r="A82" s="540"/>
    </row>
    <row r="83" ht="11.25">
      <c r="A83" s="540"/>
    </row>
    <row r="84" ht="11.25">
      <c r="A84" s="540"/>
    </row>
    <row r="85" ht="11.25">
      <c r="A85" s="540"/>
    </row>
    <row r="86" ht="11.25">
      <c r="A86" s="540"/>
    </row>
    <row r="87" ht="11.25">
      <c r="A87" s="540"/>
    </row>
    <row r="88" ht="11.25">
      <c r="A88" s="540"/>
    </row>
    <row r="89" ht="11.25">
      <c r="A89" s="540"/>
    </row>
    <row r="90" ht="11.25">
      <c r="A90" s="540"/>
    </row>
    <row r="91" ht="11.25">
      <c r="A91" s="540"/>
    </row>
    <row r="92" ht="11.25">
      <c r="A92" s="540"/>
    </row>
    <row r="93" ht="11.25">
      <c r="A93" s="540"/>
    </row>
    <row r="94" ht="11.25">
      <c r="A94" s="540"/>
    </row>
    <row r="95" ht="11.25">
      <c r="A95" s="540"/>
    </row>
    <row r="96" ht="11.25">
      <c r="A96" s="540"/>
    </row>
    <row r="97" ht="11.25">
      <c r="A97" s="540"/>
    </row>
    <row r="98" ht="11.25">
      <c r="A98" s="540"/>
    </row>
    <row r="99" ht="11.25">
      <c r="A99" s="540"/>
    </row>
    <row r="100" ht="11.25">
      <c r="A100" s="540"/>
    </row>
    <row r="101" ht="11.25">
      <c r="A101" s="540"/>
    </row>
    <row r="102" ht="11.25">
      <c r="A102" s="540"/>
    </row>
    <row r="103" ht="11.25">
      <c r="A103" s="540"/>
    </row>
    <row r="104" ht="11.25">
      <c r="A104" s="540"/>
    </row>
    <row r="105" ht="11.25">
      <c r="A105" s="540"/>
    </row>
    <row r="106" ht="11.25">
      <c r="A106" s="540"/>
    </row>
    <row r="107" ht="11.25">
      <c r="A107" s="540"/>
    </row>
    <row r="108" ht="11.25">
      <c r="A108" s="540"/>
    </row>
    <row r="109" ht="11.25">
      <c r="A109" s="540"/>
    </row>
    <row r="110" ht="11.25">
      <c r="A110" s="540"/>
    </row>
    <row r="111" ht="11.25">
      <c r="A111" s="540"/>
    </row>
    <row r="112" ht="11.25">
      <c r="A112" s="540"/>
    </row>
    <row r="113" ht="11.25">
      <c r="A113" s="540"/>
    </row>
    <row r="114" ht="11.25">
      <c r="A114" s="540"/>
    </row>
    <row r="115" ht="11.25">
      <c r="A115" s="540"/>
    </row>
    <row r="116" ht="11.25">
      <c r="A116" s="540"/>
    </row>
    <row r="117" ht="11.25">
      <c r="A117" s="540"/>
    </row>
    <row r="118" ht="11.25">
      <c r="A118" s="540"/>
    </row>
    <row r="119" ht="11.25">
      <c r="A119" s="540"/>
    </row>
    <row r="120" ht="11.25">
      <c r="A120" s="540"/>
    </row>
    <row r="121" ht="11.25">
      <c r="A121" s="540"/>
    </row>
    <row r="122" ht="11.25">
      <c r="A122" s="540"/>
    </row>
    <row r="123" ht="11.25">
      <c r="A123" s="540"/>
    </row>
    <row r="124" ht="11.25">
      <c r="A124" s="540"/>
    </row>
    <row r="125" ht="11.25">
      <c r="A125" s="540"/>
    </row>
  </sheetData>
  <printOptions/>
  <pageMargins left="0.39" right="0.17" top="1" bottom="1" header="0.5" footer="0.5"/>
  <pageSetup firstPageNumber="24" useFirstPageNumber="1" horizontalDpi="600" verticalDpi="600" orientation="portrait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I59"/>
  <sheetViews>
    <sheetView showGridLines="0" showZeros="0" workbookViewId="0" topLeftCell="A1">
      <selection activeCell="A12" sqref="A12"/>
    </sheetView>
  </sheetViews>
  <sheetFormatPr defaultColWidth="9.140625" defaultRowHeight="12.75"/>
  <cols>
    <col min="1" max="1" width="37.57421875" style="436" customWidth="1"/>
    <col min="2" max="5" width="12.7109375" style="430" customWidth="1"/>
    <col min="6" max="16384" width="7.421875" style="430" customWidth="1"/>
  </cols>
  <sheetData>
    <row r="1" spans="1:5" ht="12.75">
      <c r="A1" s="428" t="s">
        <v>535</v>
      </c>
      <c r="B1" s="428"/>
      <c r="C1" s="429"/>
      <c r="D1" s="429"/>
      <c r="E1" s="429" t="s">
        <v>536</v>
      </c>
    </row>
    <row r="2" spans="1:7" s="429" customFormat="1" ht="12.75">
      <c r="A2" s="428"/>
      <c r="B2" s="428"/>
      <c r="E2" s="431"/>
      <c r="G2" s="428" t="s">
        <v>537</v>
      </c>
    </row>
    <row r="4" spans="1:6" s="435" customFormat="1" ht="15.75">
      <c r="A4" s="432" t="s">
        <v>538</v>
      </c>
      <c r="B4" s="433"/>
      <c r="C4" s="434"/>
      <c r="D4" s="434"/>
      <c r="E4" s="434"/>
      <c r="F4" s="434"/>
    </row>
    <row r="5" spans="1:6" s="435" customFormat="1" ht="15.75">
      <c r="A5" s="432" t="s">
        <v>539</v>
      </c>
      <c r="B5" s="433"/>
      <c r="C5" s="434"/>
      <c r="D5" s="434"/>
      <c r="E5" s="434"/>
      <c r="F5" s="434"/>
    </row>
    <row r="6" spans="2:4" ht="11.25">
      <c r="B6" s="437"/>
      <c r="C6" s="437"/>
      <c r="D6" s="437"/>
    </row>
    <row r="7" spans="3:9" ht="12.75" customHeight="1">
      <c r="C7" s="437"/>
      <c r="D7" s="437"/>
      <c r="E7" s="437"/>
      <c r="F7" s="438"/>
      <c r="G7" s="438"/>
      <c r="H7" s="438"/>
      <c r="I7" s="438"/>
    </row>
    <row r="8" spans="1:5" s="438" customFormat="1" ht="12.75" customHeight="1">
      <c r="A8" s="439"/>
      <c r="B8" s="439"/>
      <c r="C8" s="440"/>
      <c r="D8" s="440"/>
      <c r="E8" s="440" t="s">
        <v>149</v>
      </c>
    </row>
    <row r="9" spans="1:8" s="438" customFormat="1" ht="40.5" customHeight="1">
      <c r="A9" s="441" t="s">
        <v>59</v>
      </c>
      <c r="B9" s="442" t="s">
        <v>540</v>
      </c>
      <c r="C9" s="442" t="s">
        <v>112</v>
      </c>
      <c r="D9" s="442" t="s">
        <v>541</v>
      </c>
      <c r="E9" s="443" t="s">
        <v>377</v>
      </c>
      <c r="F9" s="444"/>
      <c r="G9" s="444"/>
      <c r="H9" s="444"/>
    </row>
    <row r="10" spans="1:8" s="438" customFormat="1" ht="12.75">
      <c r="A10" s="445" t="s">
        <v>542</v>
      </c>
      <c r="B10" s="446">
        <v>2</v>
      </c>
      <c r="C10" s="446">
        <v>3</v>
      </c>
      <c r="D10" s="446">
        <v>4</v>
      </c>
      <c r="E10" s="447" t="s">
        <v>543</v>
      </c>
      <c r="F10" s="444"/>
      <c r="G10" s="444"/>
      <c r="H10" s="444"/>
    </row>
    <row r="11" spans="1:6" s="444" customFormat="1" ht="12.75">
      <c r="A11" s="448" t="s">
        <v>544</v>
      </c>
      <c r="B11" s="449"/>
      <c r="C11" s="449">
        <v>99147</v>
      </c>
      <c r="D11" s="450"/>
      <c r="E11" s="451">
        <f>1482+37191</f>
        <v>38673</v>
      </c>
      <c r="F11" s="430"/>
    </row>
    <row r="12" spans="1:7" ht="25.5">
      <c r="A12" s="452" t="s">
        <v>545</v>
      </c>
      <c r="B12" s="449"/>
      <c r="C12" s="449">
        <v>66687</v>
      </c>
      <c r="D12" s="450"/>
      <c r="E12" s="451">
        <f>1482+25811</f>
        <v>27293</v>
      </c>
      <c r="F12" s="444"/>
      <c r="G12" s="444"/>
    </row>
    <row r="13" spans="1:5" s="444" customFormat="1" ht="12.75">
      <c r="A13" s="453" t="s">
        <v>546</v>
      </c>
      <c r="B13" s="449"/>
      <c r="C13" s="449">
        <v>55543</v>
      </c>
      <c r="D13" s="450"/>
      <c r="E13" s="451">
        <f>1482+21831</f>
        <v>23313</v>
      </c>
    </row>
    <row r="14" spans="1:6" s="444" customFormat="1" ht="12.75">
      <c r="A14" s="454" t="s">
        <v>236</v>
      </c>
      <c r="B14" s="449"/>
      <c r="C14" s="449">
        <v>55259</v>
      </c>
      <c r="D14" s="450"/>
      <c r="E14" s="451">
        <f>1482+21730</f>
        <v>23212</v>
      </c>
      <c r="F14" s="430"/>
    </row>
    <row r="15" spans="1:6" s="438" customFormat="1" ht="12">
      <c r="A15" s="455" t="s">
        <v>547</v>
      </c>
      <c r="B15" s="449"/>
      <c r="C15" s="449">
        <v>44938</v>
      </c>
      <c r="D15" s="450"/>
      <c r="E15" s="451">
        <f>1482+15446</f>
        <v>16928</v>
      </c>
      <c r="F15" s="430"/>
    </row>
    <row r="16" spans="1:6" s="438" customFormat="1" ht="12">
      <c r="A16" s="455" t="s">
        <v>548</v>
      </c>
      <c r="B16" s="449"/>
      <c r="C16" s="449">
        <v>7696</v>
      </c>
      <c r="D16" s="450"/>
      <c r="E16" s="451">
        <v>5065</v>
      </c>
      <c r="F16" s="430"/>
    </row>
    <row r="17" spans="1:6" s="438" customFormat="1" ht="12">
      <c r="A17" s="455" t="s">
        <v>549</v>
      </c>
      <c r="B17" s="449"/>
      <c r="C17" s="449">
        <v>2239</v>
      </c>
      <c r="D17" s="450"/>
      <c r="E17" s="451">
        <v>1085</v>
      </c>
      <c r="F17" s="430"/>
    </row>
    <row r="18" spans="1:6" s="438" customFormat="1" ht="12">
      <c r="A18" s="455" t="s">
        <v>550</v>
      </c>
      <c r="B18" s="449"/>
      <c r="C18" s="449">
        <v>386</v>
      </c>
      <c r="D18" s="450"/>
      <c r="E18" s="451">
        <v>134</v>
      </c>
      <c r="F18" s="430"/>
    </row>
    <row r="19" spans="1:6" s="444" customFormat="1" ht="12.75">
      <c r="A19" s="454" t="s">
        <v>238</v>
      </c>
      <c r="B19" s="449"/>
      <c r="C19" s="449">
        <v>284</v>
      </c>
      <c r="D19" s="450"/>
      <c r="E19" s="451">
        <v>101</v>
      </c>
      <c r="F19" s="430"/>
    </row>
    <row r="20" spans="1:5" ht="12">
      <c r="A20" s="455" t="s">
        <v>551</v>
      </c>
      <c r="B20" s="449"/>
      <c r="C20" s="449">
        <v>284</v>
      </c>
      <c r="D20" s="450"/>
      <c r="E20" s="451">
        <v>101</v>
      </c>
    </row>
    <row r="21" spans="1:5" s="444" customFormat="1" ht="12.75">
      <c r="A21" s="453" t="s">
        <v>552</v>
      </c>
      <c r="B21" s="449"/>
      <c r="C21" s="449">
        <v>4243</v>
      </c>
      <c r="D21" s="450"/>
      <c r="E21" s="451">
        <v>1576</v>
      </c>
    </row>
    <row r="22" spans="1:7" ht="12.75">
      <c r="A22" s="455" t="s">
        <v>553</v>
      </c>
      <c r="B22" s="449"/>
      <c r="C22" s="449">
        <v>109</v>
      </c>
      <c r="D22" s="450"/>
      <c r="E22" s="451">
        <v>17</v>
      </c>
      <c r="F22" s="444"/>
      <c r="G22" s="444"/>
    </row>
    <row r="23" spans="1:7" ht="12.75">
      <c r="A23" s="455" t="s">
        <v>554</v>
      </c>
      <c r="B23" s="449"/>
      <c r="C23" s="449">
        <v>601</v>
      </c>
      <c r="D23" s="450"/>
      <c r="E23" s="451">
        <v>231</v>
      </c>
      <c r="F23" s="444"/>
      <c r="G23" s="444"/>
    </row>
    <row r="24" spans="1:7" ht="12.75">
      <c r="A24" s="455" t="s">
        <v>555</v>
      </c>
      <c r="B24" s="449"/>
      <c r="C24" s="449">
        <v>55</v>
      </c>
      <c r="D24" s="450"/>
      <c r="E24" s="451">
        <v>18</v>
      </c>
      <c r="F24" s="444"/>
      <c r="G24" s="444"/>
    </row>
    <row r="25" spans="1:7" ht="12.75">
      <c r="A25" s="455" t="s">
        <v>556</v>
      </c>
      <c r="B25" s="449"/>
      <c r="C25" s="449">
        <v>3362</v>
      </c>
      <c r="D25" s="450"/>
      <c r="E25" s="451">
        <v>1271</v>
      </c>
      <c r="F25" s="444"/>
      <c r="G25" s="444"/>
    </row>
    <row r="26" spans="1:7" ht="22.5">
      <c r="A26" s="456" t="s">
        <v>557</v>
      </c>
      <c r="B26" s="449"/>
      <c r="C26" s="449">
        <v>103</v>
      </c>
      <c r="D26" s="450"/>
      <c r="E26" s="451">
        <v>35</v>
      </c>
      <c r="F26" s="444"/>
      <c r="G26" s="444"/>
    </row>
    <row r="27" spans="1:7" ht="12.75">
      <c r="A27" s="455" t="s">
        <v>558</v>
      </c>
      <c r="B27" s="449"/>
      <c r="C27" s="449">
        <v>13</v>
      </c>
      <c r="D27" s="450"/>
      <c r="E27" s="451">
        <v>4</v>
      </c>
      <c r="F27" s="444"/>
      <c r="G27" s="444"/>
    </row>
    <row r="28" spans="1:7" ht="38.25">
      <c r="A28" s="457" t="s">
        <v>559</v>
      </c>
      <c r="B28" s="449"/>
      <c r="C28" s="449">
        <v>6901</v>
      </c>
      <c r="D28" s="450"/>
      <c r="E28" s="451">
        <v>2404</v>
      </c>
      <c r="F28" s="444"/>
      <c r="G28" s="444"/>
    </row>
    <row r="29" spans="1:7" ht="12.75">
      <c r="A29" s="453" t="s">
        <v>560</v>
      </c>
      <c r="B29" s="449"/>
      <c r="C29" s="449">
        <v>32460</v>
      </c>
      <c r="D29" s="450"/>
      <c r="E29" s="451">
        <v>11380</v>
      </c>
      <c r="F29" s="444"/>
      <c r="G29" s="444"/>
    </row>
    <row r="30" spans="1:7" ht="12.75">
      <c r="A30" s="458" t="s">
        <v>561</v>
      </c>
      <c r="B30" s="449"/>
      <c r="C30" s="449">
        <v>1614</v>
      </c>
      <c r="D30" s="450"/>
      <c r="E30" s="451">
        <v>843</v>
      </c>
      <c r="F30" s="444"/>
      <c r="G30" s="444"/>
    </row>
    <row r="31" spans="1:7" ht="22.5">
      <c r="A31" s="456" t="s">
        <v>562</v>
      </c>
      <c r="B31" s="449"/>
      <c r="C31" s="449">
        <v>1179</v>
      </c>
      <c r="D31" s="450"/>
      <c r="E31" s="451">
        <v>570</v>
      </c>
      <c r="F31" s="444"/>
      <c r="G31" s="444"/>
    </row>
    <row r="32" spans="1:7" ht="22.5">
      <c r="A32" s="456" t="s">
        <v>563</v>
      </c>
      <c r="B32" s="449"/>
      <c r="C32" s="449">
        <v>69</v>
      </c>
      <c r="D32" s="450"/>
      <c r="E32" s="451">
        <v>28</v>
      </c>
      <c r="F32" s="444"/>
      <c r="G32" s="444"/>
    </row>
    <row r="33" spans="1:7" ht="12.75">
      <c r="A33" s="455" t="s">
        <v>564</v>
      </c>
      <c r="B33" s="449"/>
      <c r="C33" s="449">
        <v>366</v>
      </c>
      <c r="D33" s="450"/>
      <c r="E33" s="451">
        <v>245</v>
      </c>
      <c r="F33" s="444"/>
      <c r="G33" s="444"/>
    </row>
    <row r="34" spans="1:7" ht="12.75">
      <c r="A34" s="458" t="s">
        <v>565</v>
      </c>
      <c r="B34" s="449"/>
      <c r="C34" s="449">
        <v>22659</v>
      </c>
      <c r="D34" s="450"/>
      <c r="E34" s="451">
        <v>7726</v>
      </c>
      <c r="F34" s="444"/>
      <c r="G34" s="444"/>
    </row>
    <row r="35" spans="1:7" ht="12.75">
      <c r="A35" s="455" t="s">
        <v>566</v>
      </c>
      <c r="B35" s="449"/>
      <c r="C35" s="449">
        <v>0</v>
      </c>
      <c r="D35" s="450"/>
      <c r="E35" s="451"/>
      <c r="F35" s="444"/>
      <c r="G35" s="444"/>
    </row>
    <row r="36" spans="1:5" ht="12">
      <c r="A36" s="455" t="s">
        <v>567</v>
      </c>
      <c r="B36" s="449"/>
      <c r="C36" s="449">
        <v>0</v>
      </c>
      <c r="D36" s="450"/>
      <c r="E36" s="451"/>
    </row>
    <row r="37" spans="1:5" ht="12">
      <c r="A37" s="455" t="s">
        <v>568</v>
      </c>
      <c r="B37" s="449"/>
      <c r="C37" s="449">
        <v>22659</v>
      </c>
      <c r="D37" s="450"/>
      <c r="E37" s="451">
        <v>8084</v>
      </c>
    </row>
    <row r="38" spans="1:5" ht="33.75">
      <c r="A38" s="459" t="s">
        <v>569</v>
      </c>
      <c r="B38" s="449"/>
      <c r="C38" s="449"/>
      <c r="D38" s="450"/>
      <c r="E38" s="451">
        <v>-358</v>
      </c>
    </row>
    <row r="39" spans="1:5" ht="22.5">
      <c r="A39" s="460" t="s">
        <v>570</v>
      </c>
      <c r="B39" s="449"/>
      <c r="C39" s="449">
        <v>7870</v>
      </c>
      <c r="D39" s="450"/>
      <c r="E39" s="451">
        <v>2624</v>
      </c>
    </row>
    <row r="40" spans="1:5" ht="12">
      <c r="A40" s="455" t="s">
        <v>566</v>
      </c>
      <c r="B40" s="449"/>
      <c r="C40" s="449">
        <v>7870</v>
      </c>
      <c r="D40" s="450"/>
      <c r="E40" s="451">
        <v>2624</v>
      </c>
    </row>
    <row r="41" spans="1:5" ht="12">
      <c r="A41" s="455" t="s">
        <v>571</v>
      </c>
      <c r="B41" s="449"/>
      <c r="C41" s="449">
        <v>0</v>
      </c>
      <c r="D41" s="450"/>
      <c r="E41" s="451"/>
    </row>
    <row r="42" spans="1:5" ht="22.5">
      <c r="A42" s="456" t="s">
        <v>572</v>
      </c>
      <c r="B42" s="449"/>
      <c r="C42" s="449"/>
      <c r="D42" s="450"/>
      <c r="E42" s="451"/>
    </row>
    <row r="43" spans="1:5" ht="12">
      <c r="A43" s="461" t="s">
        <v>573</v>
      </c>
      <c r="B43" s="462"/>
      <c r="C43" s="462">
        <v>317</v>
      </c>
      <c r="D43" s="463"/>
      <c r="E43" s="464">
        <v>187</v>
      </c>
    </row>
    <row r="44" spans="1:5" ht="12">
      <c r="A44" s="465" t="s">
        <v>574</v>
      </c>
      <c r="B44" s="466"/>
      <c r="C44" s="466"/>
      <c r="D44" s="467"/>
      <c r="E44" s="468"/>
    </row>
    <row r="45" spans="1:5" ht="12.75">
      <c r="A45" s="465"/>
      <c r="B45" s="469"/>
      <c r="C45" s="469"/>
      <c r="D45" s="469"/>
      <c r="E45" s="468"/>
    </row>
    <row r="46" spans="1:5" ht="12.75">
      <c r="A46" s="465"/>
      <c r="B46" s="469"/>
      <c r="C46" s="469"/>
      <c r="D46" s="469"/>
      <c r="E46" s="468"/>
    </row>
    <row r="47" spans="1:5" ht="12.75">
      <c r="A47" s="465"/>
      <c r="B47" s="469"/>
      <c r="C47" s="469"/>
      <c r="D47" s="469"/>
      <c r="E47" s="468"/>
    </row>
    <row r="48" spans="1:4" s="467" customFormat="1" ht="12" hidden="1">
      <c r="A48" s="470"/>
      <c r="B48" s="468"/>
      <c r="C48" s="466"/>
      <c r="D48" s="466"/>
    </row>
    <row r="49" spans="1:5" s="474" customFormat="1" ht="15.75" customHeight="1">
      <c r="A49" s="471" t="s">
        <v>575</v>
      </c>
      <c r="B49" s="471"/>
      <c r="C49" s="472"/>
      <c r="D49" s="472"/>
      <c r="E49" s="473" t="s">
        <v>576</v>
      </c>
    </row>
    <row r="50" spans="1:4" ht="12.75">
      <c r="A50" s="469"/>
      <c r="B50" s="467"/>
      <c r="C50" s="467"/>
      <c r="D50" s="467"/>
    </row>
    <row r="51" spans="1:4" s="467" customFormat="1" ht="13.5" customHeight="1">
      <c r="A51" s="475"/>
      <c r="C51" s="476"/>
      <c r="D51" s="430"/>
    </row>
    <row r="52" spans="1:4" ht="12.75">
      <c r="A52" s="469"/>
      <c r="B52" s="467"/>
      <c r="C52" s="467"/>
      <c r="D52" s="467"/>
    </row>
    <row r="53" spans="1:4" s="467" customFormat="1" ht="11.25">
      <c r="A53" s="475"/>
      <c r="C53" s="476"/>
      <c r="D53" s="430"/>
    </row>
    <row r="54" spans="1:4" ht="13.5" customHeight="1">
      <c r="A54" s="469"/>
      <c r="B54" s="467"/>
      <c r="C54" s="467"/>
      <c r="D54" s="467"/>
    </row>
    <row r="55" spans="1:3" ht="12">
      <c r="A55" s="471"/>
      <c r="B55" s="477"/>
      <c r="C55" s="476"/>
    </row>
    <row r="56" spans="1:3" ht="12">
      <c r="A56" s="471"/>
      <c r="B56" s="477"/>
      <c r="C56" s="438"/>
    </row>
    <row r="58" spans="1:3" ht="12">
      <c r="A58" s="478"/>
      <c r="B58" s="477"/>
      <c r="C58" s="474"/>
    </row>
    <row r="59" spans="1:3" ht="12">
      <c r="A59" s="471"/>
      <c r="B59" s="477"/>
      <c r="C59" s="474"/>
    </row>
  </sheetData>
  <printOptions/>
  <pageMargins left="1.05" right="0.38" top="0.49" bottom="0.24" header="0.25" footer="0.31"/>
  <pageSetup firstPageNumber="26" useFirstPageNumber="1" horizontalDpi="600" verticalDpi="600" orientation="portrait" paperSize="9" r:id="rId1"/>
  <headerFooter alignWithMargins="0">
    <oddFooter>&amp;L&amp;"Arial,Regular"&amp;8          Valsts kase / Pārskatu departaments    
          15.04.00.
           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I66"/>
  <sheetViews>
    <sheetView showGridLines="0" showZeros="0" workbookViewId="0" topLeftCell="A1">
      <selection activeCell="C12" sqref="C12"/>
    </sheetView>
  </sheetViews>
  <sheetFormatPr defaultColWidth="9.140625" defaultRowHeight="12.75"/>
  <cols>
    <col min="1" max="1" width="41.00390625" style="436" customWidth="1"/>
    <col min="2" max="2" width="13.140625" style="501" customWidth="1"/>
    <col min="3" max="5" width="13.140625" style="430" customWidth="1"/>
    <col min="6" max="6" width="11.28125" style="430" customWidth="1"/>
    <col min="7" max="16384" width="8.00390625" style="430" customWidth="1"/>
  </cols>
  <sheetData>
    <row r="1" spans="1:6" ht="12.75">
      <c r="A1" s="428" t="s">
        <v>577</v>
      </c>
      <c r="B1" s="428"/>
      <c r="C1" s="429"/>
      <c r="D1" s="429"/>
      <c r="E1" s="429" t="s">
        <v>578</v>
      </c>
      <c r="F1" s="469" t="s">
        <v>579</v>
      </c>
    </row>
    <row r="2" spans="1:6" ht="12.75">
      <c r="A2" s="428"/>
      <c r="B2" s="428"/>
      <c r="C2" s="429"/>
      <c r="D2" s="429"/>
      <c r="E2" s="429"/>
      <c r="F2" s="469"/>
    </row>
    <row r="3" spans="1:6" ht="12.75">
      <c r="A3" s="428"/>
      <c r="B3" s="428"/>
      <c r="C3" s="429"/>
      <c r="D3" s="429"/>
      <c r="E3" s="429"/>
      <c r="F3" s="469"/>
    </row>
    <row r="4" spans="1:5" s="438" customFormat="1" ht="11.25">
      <c r="A4" s="479"/>
      <c r="B4" s="479"/>
      <c r="C4" s="480"/>
      <c r="D4" s="480"/>
      <c r="E4" s="480"/>
    </row>
    <row r="5" spans="1:6" ht="15.75">
      <c r="A5" s="432" t="s">
        <v>580</v>
      </c>
      <c r="B5" s="433"/>
      <c r="C5" s="434"/>
      <c r="D5" s="434"/>
      <c r="E5" s="434"/>
      <c r="F5" s="434"/>
    </row>
    <row r="6" spans="1:6" s="435" customFormat="1" ht="15.75">
      <c r="A6" s="432" t="s">
        <v>581</v>
      </c>
      <c r="B6" s="433"/>
      <c r="C6" s="434"/>
      <c r="D6" s="434"/>
      <c r="E6" s="434"/>
      <c r="F6" s="434"/>
    </row>
    <row r="7" spans="1:6" s="435" customFormat="1" ht="15">
      <c r="A7" s="436"/>
      <c r="B7" s="481"/>
      <c r="C7" s="437"/>
      <c r="D7" s="437"/>
      <c r="E7" s="437"/>
      <c r="F7" s="430"/>
    </row>
    <row r="8" spans="1:6" ht="11.25">
      <c r="A8" s="478"/>
      <c r="B8" s="482"/>
      <c r="C8" s="438"/>
      <c r="D8" s="480" t="s">
        <v>582</v>
      </c>
      <c r="E8" s="480"/>
      <c r="F8" s="483"/>
    </row>
    <row r="9" spans="1:5" s="438" customFormat="1" ht="43.5" customHeight="1">
      <c r="A9" s="484" t="s">
        <v>59</v>
      </c>
      <c r="B9" s="485" t="s">
        <v>540</v>
      </c>
      <c r="C9" s="485" t="s">
        <v>112</v>
      </c>
      <c r="D9" s="485" t="s">
        <v>541</v>
      </c>
      <c r="E9" s="486" t="s">
        <v>377</v>
      </c>
    </row>
    <row r="10" spans="1:5" ht="11.25">
      <c r="A10" s="445" t="s">
        <v>542</v>
      </c>
      <c r="B10" s="446" t="s">
        <v>583</v>
      </c>
      <c r="C10" s="446" t="s">
        <v>584</v>
      </c>
      <c r="D10" s="446" t="s">
        <v>585</v>
      </c>
      <c r="E10" s="447" t="s">
        <v>543</v>
      </c>
    </row>
    <row r="11" spans="1:5" ht="12.75">
      <c r="A11" s="452" t="s">
        <v>586</v>
      </c>
      <c r="B11" s="449"/>
      <c r="C11" s="449">
        <v>94334</v>
      </c>
      <c r="D11" s="450"/>
      <c r="E11" s="451">
        <f>SUM(E12+E30)</f>
        <v>34348</v>
      </c>
    </row>
    <row r="12" spans="1:5" s="444" customFormat="1" ht="12.75">
      <c r="A12" s="487" t="s">
        <v>587</v>
      </c>
      <c r="B12" s="449"/>
      <c r="C12" s="449">
        <v>86642</v>
      </c>
      <c r="D12" s="450"/>
      <c r="E12" s="451">
        <f>SUM(E13:E29)</f>
        <v>31509</v>
      </c>
    </row>
    <row r="13" spans="1:5" s="474" customFormat="1" ht="12">
      <c r="A13" s="456" t="s">
        <v>588</v>
      </c>
      <c r="B13" s="449"/>
      <c r="C13" s="449">
        <v>9642</v>
      </c>
      <c r="D13" s="450"/>
      <c r="E13" s="451">
        <v>3638</v>
      </c>
    </row>
    <row r="14" spans="1:5" s="474" customFormat="1" ht="12">
      <c r="A14" s="456" t="s">
        <v>503</v>
      </c>
      <c r="B14" s="449"/>
      <c r="C14" s="449">
        <v>34</v>
      </c>
      <c r="D14" s="450"/>
      <c r="E14" s="451">
        <v>1</v>
      </c>
    </row>
    <row r="15" spans="1:5" s="474" customFormat="1" ht="12">
      <c r="A15" s="456" t="s">
        <v>504</v>
      </c>
      <c r="B15" s="449"/>
      <c r="C15" s="449">
        <v>1401</v>
      </c>
      <c r="D15" s="450"/>
      <c r="E15" s="451">
        <v>537</v>
      </c>
    </row>
    <row r="16" spans="1:9" s="474" customFormat="1" ht="12">
      <c r="A16" s="456" t="s">
        <v>505</v>
      </c>
      <c r="B16" s="449"/>
      <c r="C16" s="449">
        <v>44262</v>
      </c>
      <c r="D16" s="450"/>
      <c r="E16" s="451">
        <v>16140</v>
      </c>
      <c r="I16" s="474" t="s">
        <v>579</v>
      </c>
    </row>
    <row r="17" spans="1:5" s="474" customFormat="1" ht="12">
      <c r="A17" s="456" t="s">
        <v>506</v>
      </c>
      <c r="B17" s="449"/>
      <c r="C17" s="449">
        <v>1193</v>
      </c>
      <c r="D17" s="450"/>
      <c r="E17" s="451">
        <v>396</v>
      </c>
    </row>
    <row r="18" spans="1:5" s="474" customFormat="1" ht="12">
      <c r="A18" s="456" t="s">
        <v>507</v>
      </c>
      <c r="B18" s="449"/>
      <c r="C18" s="449">
        <v>8066</v>
      </c>
      <c r="D18" s="450"/>
      <c r="E18" s="451">
        <v>2955</v>
      </c>
    </row>
    <row r="19" spans="1:5" s="474" customFormat="1" ht="12">
      <c r="A19" s="456" t="s">
        <v>508</v>
      </c>
      <c r="B19" s="449"/>
      <c r="C19" s="449">
        <v>11736</v>
      </c>
      <c r="D19" s="450"/>
      <c r="E19" s="451">
        <v>4144</v>
      </c>
    </row>
    <row r="20" spans="1:5" s="474" customFormat="1" ht="12">
      <c r="A20" s="456" t="s">
        <v>589</v>
      </c>
      <c r="B20" s="449"/>
      <c r="C20" s="449">
        <v>7665</v>
      </c>
      <c r="D20" s="450"/>
      <c r="E20" s="451">
        <v>2886</v>
      </c>
    </row>
    <row r="21" spans="1:5" s="474" customFormat="1" ht="12">
      <c r="A21" s="456" t="s">
        <v>510</v>
      </c>
      <c r="B21" s="449"/>
      <c r="C21" s="449">
        <v>217</v>
      </c>
      <c r="D21" s="450"/>
      <c r="E21" s="451">
        <v>9</v>
      </c>
    </row>
    <row r="22" spans="1:5" s="474" customFormat="1" ht="12">
      <c r="A22" s="456" t="s">
        <v>590</v>
      </c>
      <c r="B22" s="449"/>
      <c r="C22" s="449">
        <v>172</v>
      </c>
      <c r="D22" s="450"/>
      <c r="E22" s="451">
        <v>96</v>
      </c>
    </row>
    <row r="23" spans="1:5" s="474" customFormat="1" ht="22.5">
      <c r="A23" s="456" t="s">
        <v>512</v>
      </c>
      <c r="B23" s="449"/>
      <c r="C23" s="449">
        <v>26</v>
      </c>
      <c r="D23" s="450"/>
      <c r="E23" s="451">
        <v>26</v>
      </c>
    </row>
    <row r="24" spans="1:5" s="474" customFormat="1" ht="12">
      <c r="A24" s="456" t="s">
        <v>591</v>
      </c>
      <c r="B24" s="449"/>
      <c r="C24" s="449">
        <v>1191</v>
      </c>
      <c r="D24" s="450"/>
      <c r="E24" s="451">
        <v>428</v>
      </c>
    </row>
    <row r="25" spans="1:5" s="474" customFormat="1" ht="12">
      <c r="A25" s="456" t="s">
        <v>514</v>
      </c>
      <c r="B25" s="449"/>
      <c r="C25" s="449">
        <v>242</v>
      </c>
      <c r="D25" s="450"/>
      <c r="E25" s="451">
        <v>111</v>
      </c>
    </row>
    <row r="26" spans="1:5" s="474" customFormat="1" ht="12">
      <c r="A26" s="456" t="s">
        <v>592</v>
      </c>
      <c r="B26" s="449"/>
      <c r="C26" s="449">
        <v>628</v>
      </c>
      <c r="D26" s="450"/>
      <c r="E26" s="451">
        <v>49</v>
      </c>
    </row>
    <row r="27" spans="1:5" s="474" customFormat="1" ht="12">
      <c r="A27" s="456" t="s">
        <v>593</v>
      </c>
      <c r="B27" s="449"/>
      <c r="C27" s="449">
        <v>23</v>
      </c>
      <c r="D27" s="450"/>
      <c r="E27" s="451"/>
    </row>
    <row r="28" spans="1:5" s="474" customFormat="1" ht="12">
      <c r="A28" s="456" t="s">
        <v>594</v>
      </c>
      <c r="B28" s="449"/>
      <c r="C28" s="449">
        <v>1</v>
      </c>
      <c r="D28" s="450"/>
      <c r="E28" s="451">
        <v>-2</v>
      </c>
    </row>
    <row r="29" spans="1:5" s="474" customFormat="1" ht="12">
      <c r="A29" s="456" t="s">
        <v>595</v>
      </c>
      <c r="B29" s="449"/>
      <c r="C29" s="449">
        <v>143</v>
      </c>
      <c r="D29" s="450"/>
      <c r="E29" s="451">
        <v>95</v>
      </c>
    </row>
    <row r="30" spans="1:5" s="474" customFormat="1" ht="12.75" customHeight="1">
      <c r="A30" s="487" t="s">
        <v>596</v>
      </c>
      <c r="B30" s="449"/>
      <c r="C30" s="449">
        <v>7692</v>
      </c>
      <c r="D30" s="450"/>
      <c r="E30" s="451">
        <v>2839</v>
      </c>
    </row>
    <row r="31" spans="1:5" s="474" customFormat="1" ht="12">
      <c r="A31" s="488" t="s">
        <v>561</v>
      </c>
      <c r="B31" s="449"/>
      <c r="C31" s="449">
        <v>1631</v>
      </c>
      <c r="D31" s="450"/>
      <c r="E31" s="451">
        <v>818</v>
      </c>
    </row>
    <row r="32" spans="1:5" s="474" customFormat="1" ht="22.5">
      <c r="A32" s="489" t="s">
        <v>597</v>
      </c>
      <c r="B32" s="449"/>
      <c r="C32" s="449">
        <v>1356</v>
      </c>
      <c r="D32" s="450"/>
      <c r="E32" s="451">
        <v>679</v>
      </c>
    </row>
    <row r="33" spans="1:5" s="474" customFormat="1" ht="22.5">
      <c r="A33" s="489" t="s">
        <v>598</v>
      </c>
      <c r="B33" s="449"/>
      <c r="C33" s="449">
        <v>98</v>
      </c>
      <c r="D33" s="450"/>
      <c r="E33" s="451">
        <v>35</v>
      </c>
    </row>
    <row r="34" spans="1:5" s="474" customFormat="1" ht="12">
      <c r="A34" s="489" t="s">
        <v>564</v>
      </c>
      <c r="B34" s="449"/>
      <c r="C34" s="449">
        <v>177</v>
      </c>
      <c r="D34" s="450"/>
      <c r="E34" s="451">
        <v>104</v>
      </c>
    </row>
    <row r="35" spans="1:5" s="474" customFormat="1" ht="22.5">
      <c r="A35" s="488" t="s">
        <v>599</v>
      </c>
      <c r="B35" s="449"/>
      <c r="C35" s="449">
        <v>6061</v>
      </c>
      <c r="D35" s="450"/>
      <c r="E35" s="451">
        <v>2021</v>
      </c>
    </row>
    <row r="36" spans="1:5" s="474" customFormat="1" ht="12">
      <c r="A36" s="489" t="s">
        <v>600</v>
      </c>
      <c r="B36" s="449"/>
      <c r="C36" s="449">
        <v>6061</v>
      </c>
      <c r="D36" s="490"/>
      <c r="E36" s="451">
        <v>2021</v>
      </c>
    </row>
    <row r="37" spans="1:5" s="494" customFormat="1" ht="12">
      <c r="A37" s="491" t="s">
        <v>601</v>
      </c>
      <c r="B37" s="462"/>
      <c r="C37" s="492">
        <v>0</v>
      </c>
      <c r="D37" s="463">
        <v>0</v>
      </c>
      <c r="E37" s="493"/>
    </row>
    <row r="38" spans="1:5" s="494" customFormat="1" ht="12">
      <c r="A38" s="495"/>
      <c r="B38" s="496"/>
      <c r="C38" s="496"/>
      <c r="D38" s="496"/>
      <c r="E38" s="496"/>
    </row>
    <row r="39" spans="1:8" s="474" customFormat="1" ht="12">
      <c r="A39" s="438" t="s">
        <v>602</v>
      </c>
      <c r="C39" s="497">
        <v>0</v>
      </c>
      <c r="D39" s="474">
        <v>0</v>
      </c>
      <c r="E39" s="430"/>
      <c r="F39" s="430"/>
      <c r="G39" s="430"/>
      <c r="H39" s="430"/>
    </row>
    <row r="40" spans="1:8" s="474" customFormat="1" ht="12">
      <c r="A40" s="498"/>
      <c r="B40" s="499"/>
      <c r="C40" s="497"/>
      <c r="D40" s="496"/>
      <c r="E40" s="430"/>
      <c r="F40" s="430"/>
      <c r="G40" s="430"/>
      <c r="H40" s="430"/>
    </row>
    <row r="41" spans="1:8" s="474" customFormat="1" ht="12">
      <c r="A41" s="498"/>
      <c r="B41" s="499"/>
      <c r="C41" s="497"/>
      <c r="D41" s="496"/>
      <c r="E41" s="430"/>
      <c r="F41" s="430"/>
      <c r="G41" s="430"/>
      <c r="H41" s="430"/>
    </row>
    <row r="42" spans="1:8" s="474" customFormat="1" ht="12">
      <c r="A42" s="471"/>
      <c r="B42" s="497"/>
      <c r="C42" s="496"/>
      <c r="E42" s="430"/>
      <c r="F42" s="430"/>
      <c r="G42" s="430"/>
      <c r="H42" s="430"/>
    </row>
    <row r="43" spans="1:8" s="474" customFormat="1" ht="12">
      <c r="A43" s="471" t="s">
        <v>575</v>
      </c>
      <c r="B43" s="471"/>
      <c r="C43" s="472"/>
      <c r="D43" s="472"/>
      <c r="E43" s="473" t="s">
        <v>576</v>
      </c>
      <c r="F43" s="430"/>
      <c r="G43" s="430"/>
      <c r="H43" s="430"/>
    </row>
    <row r="44" spans="1:8" s="474" customFormat="1" ht="12">
      <c r="A44" s="471"/>
      <c r="B44" s="471"/>
      <c r="C44" s="500"/>
      <c r="D44" s="500"/>
      <c r="E44" s="430"/>
      <c r="F44" s="430"/>
      <c r="G44" s="430"/>
      <c r="H44" s="430"/>
    </row>
    <row r="45" spans="1:8" s="474" customFormat="1" ht="12">
      <c r="A45" s="471"/>
      <c r="B45" s="497"/>
      <c r="E45" s="430"/>
      <c r="F45" s="430"/>
      <c r="G45" s="430"/>
      <c r="H45" s="430"/>
    </row>
    <row r="46" spans="1:8" s="474" customFormat="1" ht="12">
      <c r="A46" s="471"/>
      <c r="B46" s="471"/>
      <c r="C46" s="500"/>
      <c r="D46" s="500"/>
      <c r="E46" s="430"/>
      <c r="F46" s="430"/>
      <c r="G46" s="430"/>
      <c r="H46" s="430"/>
    </row>
    <row r="47" spans="1:8" s="474" customFormat="1" ht="12">
      <c r="A47" s="471"/>
      <c r="B47" s="471"/>
      <c r="C47" s="500"/>
      <c r="E47" s="430"/>
      <c r="F47" s="430"/>
      <c r="G47" s="430"/>
      <c r="H47" s="430"/>
    </row>
    <row r="48" spans="1:4" ht="12">
      <c r="A48" s="471"/>
      <c r="B48" s="436"/>
      <c r="C48" s="477"/>
      <c r="D48" s="500"/>
    </row>
    <row r="66" spans="5:8" ht="11.25">
      <c r="E66" s="430">
        <v>0</v>
      </c>
      <c r="F66" s="430">
        <v>0</v>
      </c>
      <c r="G66" s="430">
        <v>0</v>
      </c>
      <c r="H66" s="430">
        <v>0</v>
      </c>
    </row>
  </sheetData>
  <printOptions/>
  <pageMargins left="0.79" right="0.15748031496062992" top="1.03" bottom="0.25" header="0.25" footer="0.24"/>
  <pageSetup firstPageNumber="27" useFirstPageNumber="1" horizontalDpi="600" verticalDpi="600" orientation="portrait" paperSize="9" r:id="rId1"/>
  <headerFooter alignWithMargins="0">
    <oddFooter>&amp;L&amp;"Arial,Regular"&amp;8  Valsts kase / Pārskatu departaments
   15.04.00.
&amp;R&amp;P</oddFooter>
  </headerFooter>
  <rowBreaks count="1" manualBreakCount="1">
    <brk id="48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F50"/>
  <sheetViews>
    <sheetView showGridLines="0" showZeros="0" workbookViewId="0" topLeftCell="A1">
      <selection activeCell="C12" sqref="C12"/>
    </sheetView>
  </sheetViews>
  <sheetFormatPr defaultColWidth="9.140625" defaultRowHeight="12.75"/>
  <cols>
    <col min="1" max="1" width="40.57421875" style="436" customWidth="1"/>
    <col min="2" max="5" width="12.28125" style="430" customWidth="1"/>
    <col min="6" max="16384" width="8.00390625" style="430" customWidth="1"/>
  </cols>
  <sheetData>
    <row r="1" spans="1:5" s="438" customFormat="1" ht="12.75">
      <c r="A1" s="428" t="s">
        <v>603</v>
      </c>
      <c r="B1" s="429"/>
      <c r="C1" s="429"/>
      <c r="D1" s="429"/>
      <c r="E1" s="429" t="s">
        <v>604</v>
      </c>
    </row>
    <row r="2" spans="1:6" s="444" customFormat="1" ht="12.75">
      <c r="A2" s="428"/>
      <c r="B2" s="429"/>
      <c r="C2" s="429"/>
      <c r="D2" s="429"/>
      <c r="E2" s="502"/>
      <c r="F2" s="469"/>
    </row>
    <row r="3" spans="1:5" s="438" customFormat="1" ht="11.25">
      <c r="A3" s="478"/>
      <c r="D3" s="480"/>
      <c r="E3" s="480"/>
    </row>
    <row r="4" spans="1:5" s="435" customFormat="1" ht="31.5">
      <c r="A4" s="432" t="s">
        <v>605</v>
      </c>
      <c r="B4" s="434"/>
      <c r="C4" s="434"/>
      <c r="D4" s="434"/>
      <c r="E4" s="434"/>
    </row>
    <row r="5" spans="1:5" s="435" customFormat="1" ht="15.75">
      <c r="A5" s="432" t="s">
        <v>606</v>
      </c>
      <c r="B5" s="434"/>
      <c r="C5" s="434"/>
      <c r="D5" s="434"/>
      <c r="E5" s="434"/>
    </row>
    <row r="6" spans="1:4" ht="15">
      <c r="A6" s="503"/>
      <c r="B6" s="437"/>
      <c r="C6" s="437"/>
      <c r="D6" s="437"/>
    </row>
    <row r="7" spans="1:4" ht="15">
      <c r="A7" s="503"/>
      <c r="B7" s="437"/>
      <c r="C7" s="437"/>
      <c r="D7" s="437"/>
    </row>
    <row r="8" spans="1:5" s="438" customFormat="1" ht="11.25" customHeight="1">
      <c r="A8" s="478"/>
      <c r="C8" s="480" t="s">
        <v>607</v>
      </c>
      <c r="D8" s="480"/>
      <c r="E8" s="480"/>
    </row>
    <row r="9" spans="1:5" s="438" customFormat="1" ht="33.75" customHeight="1">
      <c r="A9" s="484" t="s">
        <v>59</v>
      </c>
      <c r="B9" s="485" t="s">
        <v>540</v>
      </c>
      <c r="C9" s="485" t="s">
        <v>112</v>
      </c>
      <c r="D9" s="485" t="s">
        <v>541</v>
      </c>
      <c r="E9" s="486" t="s">
        <v>377</v>
      </c>
    </row>
    <row r="10" spans="1:5" s="444" customFormat="1" ht="12.75" customHeight="1">
      <c r="A10" s="445" t="s">
        <v>542</v>
      </c>
      <c r="B10" s="446" t="s">
        <v>583</v>
      </c>
      <c r="C10" s="446" t="s">
        <v>584</v>
      </c>
      <c r="D10" s="446" t="s">
        <v>585</v>
      </c>
      <c r="E10" s="447" t="s">
        <v>543</v>
      </c>
    </row>
    <row r="11" spans="1:5" s="444" customFormat="1" ht="12.75" customHeight="1">
      <c r="A11" s="452" t="s">
        <v>315</v>
      </c>
      <c r="B11" s="449"/>
      <c r="C11" s="449">
        <v>99147</v>
      </c>
      <c r="D11" s="450"/>
      <c r="E11" s="451">
        <v>38673</v>
      </c>
    </row>
    <row r="12" spans="1:5" s="444" customFormat="1" ht="12.75">
      <c r="A12" s="452" t="s">
        <v>608</v>
      </c>
      <c r="B12" s="449"/>
      <c r="C12" s="449">
        <f>SUM(C13+C32)</f>
        <v>94387</v>
      </c>
      <c r="D12" s="450"/>
      <c r="E12" s="451">
        <f>SUM(E13+E32)</f>
        <v>34420</v>
      </c>
    </row>
    <row r="13" spans="1:5" s="467" customFormat="1" ht="11.25" customHeight="1">
      <c r="A13" s="487" t="s">
        <v>323</v>
      </c>
      <c r="B13" s="449"/>
      <c r="C13" s="449">
        <v>85200</v>
      </c>
      <c r="D13" s="450"/>
      <c r="E13" s="451">
        <v>31075</v>
      </c>
    </row>
    <row r="14" spans="1:5" s="467" customFormat="1" ht="11.25" customHeight="1">
      <c r="A14" s="504" t="s">
        <v>324</v>
      </c>
      <c r="B14" s="449"/>
      <c r="C14" s="449">
        <v>68404</v>
      </c>
      <c r="D14" s="450"/>
      <c r="E14" s="451">
        <v>25364</v>
      </c>
    </row>
    <row r="15" spans="1:5" s="467" customFormat="1" ht="11.25" customHeight="1" hidden="1">
      <c r="A15" s="489" t="s">
        <v>609</v>
      </c>
      <c r="B15" s="449"/>
      <c r="C15" s="449">
        <v>187</v>
      </c>
      <c r="D15" s="450"/>
      <c r="E15" s="451"/>
    </row>
    <row r="16" spans="1:5" ht="12">
      <c r="A16" s="489" t="s">
        <v>610</v>
      </c>
      <c r="B16" s="449"/>
      <c r="C16" s="449">
        <v>33243</v>
      </c>
      <c r="D16" s="450"/>
      <c r="E16" s="451">
        <v>11982</v>
      </c>
    </row>
    <row r="17" spans="1:5" ht="12">
      <c r="A17" s="489" t="s">
        <v>611</v>
      </c>
      <c r="B17" s="449"/>
      <c r="C17" s="449">
        <v>8731</v>
      </c>
      <c r="D17" s="450"/>
      <c r="E17" s="451">
        <v>3220</v>
      </c>
    </row>
    <row r="18" spans="1:5" ht="12" hidden="1">
      <c r="A18" s="489" t="s">
        <v>612</v>
      </c>
      <c r="B18" s="449"/>
      <c r="C18" s="449">
        <v>280</v>
      </c>
      <c r="D18" s="450"/>
      <c r="E18" s="451"/>
    </row>
    <row r="19" spans="1:5" ht="12" hidden="1">
      <c r="A19" s="489" t="s">
        <v>613</v>
      </c>
      <c r="B19" s="449"/>
      <c r="C19" s="449">
        <v>10036</v>
      </c>
      <c r="D19" s="450"/>
      <c r="E19" s="451"/>
    </row>
    <row r="20" spans="1:5" ht="12" hidden="1">
      <c r="A20" s="489" t="s">
        <v>614</v>
      </c>
      <c r="B20" s="449"/>
      <c r="C20" s="449">
        <v>15623</v>
      </c>
      <c r="D20" s="450"/>
      <c r="E20" s="451"/>
    </row>
    <row r="21" spans="1:5" ht="12" hidden="1">
      <c r="A21" s="489" t="s">
        <v>615</v>
      </c>
      <c r="B21" s="449"/>
      <c r="C21" s="449">
        <v>304</v>
      </c>
      <c r="D21" s="450"/>
      <c r="E21" s="451"/>
    </row>
    <row r="22" spans="1:5" ht="12">
      <c r="A22" s="489" t="s">
        <v>616</v>
      </c>
      <c r="B22" s="449"/>
      <c r="C22" s="449">
        <v>26430</v>
      </c>
      <c r="D22" s="450"/>
      <c r="E22" s="451">
        <v>10162</v>
      </c>
    </row>
    <row r="23" spans="1:5" ht="12">
      <c r="A23" s="505" t="s">
        <v>617</v>
      </c>
      <c r="B23" s="449"/>
      <c r="C23" s="449">
        <v>25845</v>
      </c>
      <c r="D23" s="450"/>
      <c r="E23" s="451">
        <v>9896</v>
      </c>
    </row>
    <row r="24" spans="1:5" ht="12">
      <c r="A24" s="505" t="s">
        <v>618</v>
      </c>
      <c r="B24" s="449"/>
      <c r="C24" s="449">
        <v>585</v>
      </c>
      <c r="D24" s="450"/>
      <c r="E24" s="451">
        <v>266</v>
      </c>
    </row>
    <row r="25" spans="1:5" ht="12">
      <c r="A25" s="504" t="s">
        <v>619</v>
      </c>
      <c r="B25" s="449"/>
      <c r="C25" s="449">
        <v>669</v>
      </c>
      <c r="D25" s="450"/>
      <c r="E25" s="451">
        <v>49</v>
      </c>
    </row>
    <row r="26" spans="1:5" ht="12">
      <c r="A26" s="504" t="s">
        <v>333</v>
      </c>
      <c r="B26" s="449"/>
      <c r="C26" s="449">
        <v>16127</v>
      </c>
      <c r="D26" s="450"/>
      <c r="E26" s="451">
        <v>5662</v>
      </c>
    </row>
    <row r="27" spans="1:5" ht="12">
      <c r="A27" s="489" t="s">
        <v>620</v>
      </c>
      <c r="B27" s="449"/>
      <c r="C27" s="449">
        <v>175</v>
      </c>
      <c r="D27" s="450"/>
      <c r="E27" s="451">
        <v>98</v>
      </c>
    </row>
    <row r="28" spans="1:5" ht="12">
      <c r="A28" s="489" t="s">
        <v>621</v>
      </c>
      <c r="B28" s="449"/>
      <c r="C28" s="449">
        <v>748</v>
      </c>
      <c r="D28" s="450"/>
      <c r="E28" s="451">
        <v>291</v>
      </c>
    </row>
    <row r="29" spans="1:5" ht="12">
      <c r="A29" s="489" t="s">
        <v>622</v>
      </c>
      <c r="B29" s="449"/>
      <c r="C29" s="449">
        <v>6142</v>
      </c>
      <c r="D29" s="450"/>
      <c r="E29" s="451">
        <v>2084</v>
      </c>
    </row>
    <row r="30" spans="1:5" ht="12">
      <c r="A30" s="489" t="s">
        <v>623</v>
      </c>
      <c r="B30" s="449"/>
      <c r="C30" s="449">
        <v>4868</v>
      </c>
      <c r="D30" s="450"/>
      <c r="E30" s="451">
        <v>1658</v>
      </c>
    </row>
    <row r="31" spans="1:5" ht="12">
      <c r="A31" s="489" t="s">
        <v>624</v>
      </c>
      <c r="B31" s="449"/>
      <c r="C31" s="449">
        <v>4194</v>
      </c>
      <c r="D31" s="450"/>
      <c r="E31" s="451">
        <v>1531</v>
      </c>
    </row>
    <row r="32" spans="1:5" s="467" customFormat="1" ht="11.25" customHeight="1">
      <c r="A32" s="506" t="s">
        <v>625</v>
      </c>
      <c r="B32" s="449"/>
      <c r="C32" s="449">
        <v>9187</v>
      </c>
      <c r="D32" s="450"/>
      <c r="E32" s="451">
        <v>3345</v>
      </c>
    </row>
    <row r="33" spans="1:6" s="467" customFormat="1" ht="11.25" customHeight="1">
      <c r="A33" s="489" t="s">
        <v>354</v>
      </c>
      <c r="B33" s="449"/>
      <c r="C33" s="449">
        <v>3607</v>
      </c>
      <c r="D33" s="450"/>
      <c r="E33" s="451">
        <v>1319</v>
      </c>
      <c r="F33" s="507"/>
    </row>
    <row r="34" spans="1:5" ht="12" hidden="1">
      <c r="A34" s="489" t="s">
        <v>354</v>
      </c>
      <c r="B34" s="449"/>
      <c r="C34" s="449">
        <v>3515</v>
      </c>
      <c r="D34" s="450"/>
      <c r="E34" s="451"/>
    </row>
    <row r="35" spans="1:5" ht="12" hidden="1">
      <c r="A35" s="489" t="s">
        <v>626</v>
      </c>
      <c r="B35" s="449"/>
      <c r="C35" s="449">
        <v>92</v>
      </c>
      <c r="D35" s="450"/>
      <c r="E35" s="451"/>
    </row>
    <row r="36" spans="1:5" ht="12">
      <c r="A36" s="489" t="s">
        <v>356</v>
      </c>
      <c r="B36" s="449"/>
      <c r="C36" s="449">
        <v>5580</v>
      </c>
      <c r="D36" s="450"/>
      <c r="E36" s="451">
        <v>2026</v>
      </c>
    </row>
    <row r="37" spans="1:5" s="467" customFormat="1" ht="11.25" customHeight="1">
      <c r="A37" s="487" t="s">
        <v>627</v>
      </c>
      <c r="B37" s="449"/>
      <c r="C37" s="449">
        <v>-53</v>
      </c>
      <c r="D37" s="450"/>
      <c r="E37" s="451">
        <v>-72</v>
      </c>
    </row>
    <row r="38" spans="1:5" ht="12.75" customHeight="1">
      <c r="A38" s="489" t="s">
        <v>628</v>
      </c>
      <c r="B38" s="449"/>
      <c r="C38" s="449">
        <v>101</v>
      </c>
      <c r="D38" s="450"/>
      <c r="E38" s="451">
        <v>15</v>
      </c>
    </row>
    <row r="39" spans="1:5" ht="12.75" customHeight="1">
      <c r="A39" s="491" t="s">
        <v>629</v>
      </c>
      <c r="B39" s="462"/>
      <c r="C39" s="462">
        <v>154</v>
      </c>
      <c r="D39" s="463"/>
      <c r="E39" s="464">
        <v>87</v>
      </c>
    </row>
    <row r="40" spans="1:5" ht="12.75" customHeight="1">
      <c r="A40" s="508" t="s">
        <v>469</v>
      </c>
      <c r="B40" s="509"/>
      <c r="C40" s="509">
        <f>C11-C12-C37</f>
        <v>4813</v>
      </c>
      <c r="D40" s="510"/>
      <c r="E40" s="511">
        <f>E11-E12-E37</f>
        <v>4325</v>
      </c>
    </row>
    <row r="41" spans="1:5" s="474" customFormat="1" ht="12">
      <c r="A41" s="512"/>
      <c r="B41" s="497"/>
      <c r="C41" s="497"/>
      <c r="D41" s="497"/>
      <c r="E41" s="497"/>
    </row>
    <row r="42" spans="1:5" s="474" customFormat="1" ht="12">
      <c r="A42" s="470"/>
      <c r="B42" s="497"/>
      <c r="C42" s="497"/>
      <c r="D42" s="497"/>
      <c r="E42" s="497"/>
    </row>
    <row r="43" spans="1:6" ht="12">
      <c r="A43" s="497"/>
      <c r="B43" s="497"/>
      <c r="C43" s="497"/>
      <c r="D43" s="497"/>
      <c r="E43" s="497"/>
      <c r="F43" s="477"/>
    </row>
    <row r="44" spans="1:5" s="474" customFormat="1" ht="12">
      <c r="A44" s="471" t="s">
        <v>575</v>
      </c>
      <c r="B44" s="471"/>
      <c r="C44" s="472"/>
      <c r="D44" s="472"/>
      <c r="E44" s="497" t="s">
        <v>576</v>
      </c>
    </row>
    <row r="45" spans="4:5" s="474" customFormat="1" ht="12">
      <c r="D45" s="497"/>
      <c r="E45" s="497"/>
    </row>
    <row r="46" spans="1:5" s="474" customFormat="1" ht="12">
      <c r="A46" s="497"/>
      <c r="B46" s="500"/>
      <c r="C46" s="500"/>
      <c r="D46" s="497"/>
      <c r="E46" s="497"/>
    </row>
    <row r="47" spans="1:5" s="474" customFormat="1" ht="12">
      <c r="A47" s="497"/>
      <c r="B47" s="500"/>
      <c r="D47" s="497"/>
      <c r="E47" s="497"/>
    </row>
    <row r="48" spans="1:5" ht="12">
      <c r="A48" s="501"/>
      <c r="B48" s="477"/>
      <c r="D48" s="497"/>
      <c r="E48" s="497"/>
    </row>
    <row r="49" spans="4:6" ht="12">
      <c r="D49" s="497"/>
      <c r="E49" s="497"/>
      <c r="F49" s="477"/>
    </row>
    <row r="50" spans="4:5" ht="12">
      <c r="D50" s="497"/>
      <c r="E50" s="497"/>
    </row>
  </sheetData>
  <printOptions/>
  <pageMargins left="1.09" right="0.15748031496062992" top="2.19" bottom="0.984251968503937" header="0.25" footer="0"/>
  <pageSetup firstPageNumber="28" useFirstPageNumber="1" horizontalDpi="600" verticalDpi="600" orientation="portrait" paperSize="9" r:id="rId1"/>
  <headerFooter alignWithMargins="0">
    <oddFooter>&amp;L&amp;"Arial,Regular"&amp;8           Valsts kase / Pārskatu departaments
           15.04.00.
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G37"/>
  <sheetViews>
    <sheetView showZeros="0" workbookViewId="0" topLeftCell="A1">
      <selection activeCell="C12" sqref="C12"/>
    </sheetView>
  </sheetViews>
  <sheetFormatPr defaultColWidth="9.140625" defaultRowHeight="12.75"/>
  <cols>
    <col min="1" max="1" width="42.7109375" style="430" customWidth="1"/>
    <col min="2" max="5" width="12.28125" style="430" customWidth="1"/>
    <col min="6" max="16384" width="8.00390625" style="430" customWidth="1"/>
  </cols>
  <sheetData>
    <row r="1" spans="1:5" s="438" customFormat="1" ht="12.75">
      <c r="A1" s="429" t="s">
        <v>603</v>
      </c>
      <c r="B1" s="429"/>
      <c r="C1" s="429"/>
      <c r="D1" s="429"/>
      <c r="E1" s="429" t="s">
        <v>630</v>
      </c>
    </row>
    <row r="2" spans="1:5" s="438" customFormat="1" ht="12.75">
      <c r="A2" s="429"/>
      <c r="B2" s="429"/>
      <c r="C2" s="429"/>
      <c r="D2" s="429"/>
      <c r="E2" s="429"/>
    </row>
    <row r="4" spans="1:5" s="435" customFormat="1" ht="15.75">
      <c r="A4" s="432" t="s">
        <v>631</v>
      </c>
      <c r="B4" s="434"/>
      <c r="C4" s="434"/>
      <c r="D4" s="434"/>
      <c r="E4" s="434"/>
    </row>
    <row r="5" spans="1:5" ht="15.75">
      <c r="A5" s="432" t="s">
        <v>581</v>
      </c>
      <c r="B5" s="437"/>
      <c r="C5" s="437"/>
      <c r="D5" s="437"/>
      <c r="E5" s="437"/>
    </row>
    <row r="6" spans="1:5" ht="11.25">
      <c r="A6" s="501"/>
      <c r="B6" s="437"/>
      <c r="C6" s="437"/>
      <c r="D6" s="437"/>
      <c r="E6" s="437"/>
    </row>
    <row r="7" spans="1:5" ht="11.25">
      <c r="A7" s="501"/>
      <c r="B7" s="437"/>
      <c r="C7" s="437"/>
      <c r="D7" s="437"/>
      <c r="E7" s="437"/>
    </row>
    <row r="8" spans="4:5" s="438" customFormat="1" ht="11.25">
      <c r="D8" s="480" t="s">
        <v>632</v>
      </c>
      <c r="E8" s="480"/>
    </row>
    <row r="9" spans="1:5" s="444" customFormat="1" ht="30.75" customHeight="1">
      <c r="A9" s="484" t="s">
        <v>59</v>
      </c>
      <c r="B9" s="485" t="s">
        <v>540</v>
      </c>
      <c r="C9" s="485" t="s">
        <v>112</v>
      </c>
      <c r="D9" s="485" t="s">
        <v>541</v>
      </c>
      <c r="E9" s="486" t="s">
        <v>377</v>
      </c>
    </row>
    <row r="10" spans="1:5" s="474" customFormat="1" ht="11.25" customHeight="1">
      <c r="A10" s="513">
        <v>1</v>
      </c>
      <c r="B10" s="514">
        <v>2</v>
      </c>
      <c r="C10" s="514">
        <v>3</v>
      </c>
      <c r="D10" s="515">
        <v>4</v>
      </c>
      <c r="E10" s="516" t="s">
        <v>543</v>
      </c>
    </row>
    <row r="11" spans="1:5" s="474" customFormat="1" ht="12.75">
      <c r="A11" s="517" t="s">
        <v>633</v>
      </c>
      <c r="B11" s="449"/>
      <c r="C11" s="449">
        <v>13429</v>
      </c>
      <c r="D11" s="518"/>
      <c r="E11" s="451">
        <v>6972</v>
      </c>
    </row>
    <row r="12" spans="1:5" ht="25.5">
      <c r="A12" s="517" t="s">
        <v>634</v>
      </c>
      <c r="B12" s="449"/>
      <c r="C12" s="449">
        <v>12736</v>
      </c>
      <c r="D12" s="518"/>
      <c r="E12" s="451">
        <v>6868</v>
      </c>
    </row>
    <row r="13" spans="1:5" ht="12">
      <c r="A13" s="519" t="s">
        <v>635</v>
      </c>
      <c r="B13" s="449"/>
      <c r="C13" s="449">
        <v>4984</v>
      </c>
      <c r="D13" s="518"/>
      <c r="E13" s="451">
        <v>3914</v>
      </c>
    </row>
    <row r="14" spans="1:5" ht="12">
      <c r="A14" s="519" t="s">
        <v>636</v>
      </c>
      <c r="B14" s="449"/>
      <c r="C14" s="449">
        <v>654</v>
      </c>
      <c r="D14" s="518"/>
      <c r="E14" s="451">
        <v>458</v>
      </c>
    </row>
    <row r="15" spans="1:5" ht="12">
      <c r="A15" s="519" t="s">
        <v>637</v>
      </c>
      <c r="B15" s="449"/>
      <c r="C15" s="449">
        <v>2679</v>
      </c>
      <c r="D15" s="518"/>
      <c r="E15" s="451">
        <v>910</v>
      </c>
    </row>
    <row r="16" spans="1:5" ht="12">
      <c r="A16" s="519" t="s">
        <v>638</v>
      </c>
      <c r="B16" s="449"/>
      <c r="C16" s="449">
        <v>4419</v>
      </c>
      <c r="D16" s="518"/>
      <c r="E16" s="451">
        <v>1586</v>
      </c>
    </row>
    <row r="17" spans="1:5" ht="25.5">
      <c r="A17" s="520" t="s">
        <v>639</v>
      </c>
      <c r="B17" s="449"/>
      <c r="C17" s="449">
        <v>693</v>
      </c>
      <c r="D17" s="518"/>
      <c r="E17" s="451">
        <v>104</v>
      </c>
    </row>
    <row r="18" spans="1:7" s="474" customFormat="1" ht="12.75">
      <c r="A18" s="517" t="s">
        <v>640</v>
      </c>
      <c r="B18" s="449"/>
      <c r="C18" s="449">
        <v>10058</v>
      </c>
      <c r="D18" s="518"/>
      <c r="E18" s="451">
        <v>4332</v>
      </c>
      <c r="F18" s="430"/>
      <c r="G18" s="430"/>
    </row>
    <row r="19" spans="1:5" ht="25.5">
      <c r="A19" s="520" t="s">
        <v>641</v>
      </c>
      <c r="B19" s="449"/>
      <c r="C19" s="449">
        <v>8615</v>
      </c>
      <c r="D19" s="518"/>
      <c r="E19" s="451">
        <v>3624</v>
      </c>
    </row>
    <row r="20" spans="1:5" ht="12">
      <c r="A20" s="519" t="s">
        <v>635</v>
      </c>
      <c r="B20" s="449"/>
      <c r="C20" s="449">
        <v>1909</v>
      </c>
      <c r="D20" s="518"/>
      <c r="E20" s="451">
        <v>939</v>
      </c>
    </row>
    <row r="21" spans="1:5" ht="12">
      <c r="A21" s="519" t="s">
        <v>636</v>
      </c>
      <c r="B21" s="449"/>
      <c r="C21" s="449">
        <v>261</v>
      </c>
      <c r="D21" s="518"/>
      <c r="E21" s="451">
        <v>130</v>
      </c>
    </row>
    <row r="22" spans="1:5" ht="12">
      <c r="A22" s="519" t="s">
        <v>637</v>
      </c>
      <c r="B22" s="449"/>
      <c r="C22" s="449">
        <v>1838</v>
      </c>
      <c r="D22" s="518"/>
      <c r="E22" s="451">
        <v>702</v>
      </c>
    </row>
    <row r="23" spans="1:5" ht="12">
      <c r="A23" s="519" t="s">
        <v>638</v>
      </c>
      <c r="B23" s="449"/>
      <c r="C23" s="449">
        <v>4607</v>
      </c>
      <c r="D23" s="518"/>
      <c r="E23" s="451">
        <v>1853</v>
      </c>
    </row>
    <row r="24" spans="1:5" ht="25.5">
      <c r="A24" s="521" t="s">
        <v>642</v>
      </c>
      <c r="B24" s="462"/>
      <c r="C24" s="462">
        <v>1443</v>
      </c>
      <c r="D24" s="522"/>
      <c r="E24" s="464">
        <v>708</v>
      </c>
    </row>
    <row r="25" spans="1:5" ht="12.75">
      <c r="A25" s="523"/>
      <c r="B25" s="496"/>
      <c r="C25" s="496"/>
      <c r="D25" s="524"/>
      <c r="E25" s="496"/>
    </row>
    <row r="26" ht="11.25">
      <c r="A26" s="438" t="s">
        <v>643</v>
      </c>
    </row>
    <row r="27" spans="1:5" s="525" customFormat="1" ht="11.25">
      <c r="A27" s="501"/>
      <c r="B27" s="430"/>
      <c r="C27" s="430"/>
      <c r="D27" s="430"/>
      <c r="E27" s="430"/>
    </row>
    <row r="28" spans="1:5" s="474" customFormat="1" ht="12">
      <c r="A28" s="501"/>
      <c r="B28" s="430"/>
      <c r="C28" s="430"/>
      <c r="D28" s="430"/>
      <c r="E28" s="430"/>
    </row>
    <row r="29" spans="1:5" s="474" customFormat="1" ht="12">
      <c r="A29" s="501"/>
      <c r="B29" s="525"/>
      <c r="C29" s="500"/>
      <c r="D29" s="525"/>
      <c r="E29" s="525"/>
    </row>
    <row r="30" spans="1:5" ht="12">
      <c r="A30" s="471"/>
      <c r="E30" s="526"/>
    </row>
    <row r="31" spans="1:5" ht="12">
      <c r="A31" s="471" t="s">
        <v>575</v>
      </c>
      <c r="B31" s="471"/>
      <c r="C31" s="472"/>
      <c r="D31" s="472"/>
      <c r="E31" s="526" t="s">
        <v>644</v>
      </c>
    </row>
    <row r="32" spans="1:5" ht="12">
      <c r="A32" s="471"/>
      <c r="B32" s="471"/>
      <c r="E32" s="526"/>
    </row>
    <row r="33" ht="11.25">
      <c r="A33" s="478"/>
    </row>
    <row r="34" ht="11.25">
      <c r="A34" s="478"/>
    </row>
    <row r="35" s="444" customFormat="1" ht="12" customHeight="1">
      <c r="A35" s="469"/>
    </row>
    <row r="36" s="444" customFormat="1" ht="12" customHeight="1">
      <c r="A36" s="469"/>
    </row>
    <row r="37" ht="12.75">
      <c r="A37" s="469"/>
    </row>
  </sheetData>
  <printOptions/>
  <pageMargins left="0.98" right="0.15748031496062992" top="1.46" bottom="0.984251968503937" header="0" footer="0"/>
  <pageSetup firstPageNumber="29" useFirstPageNumber="1" horizontalDpi="600" verticalDpi="600" orientation="portrait" paperSize="9" r:id="rId1"/>
  <headerFooter alignWithMargins="0">
    <oddFooter>&amp;L&amp;"Arial,Regular"&amp;8         Valsts kase / Pārskatu departaments
         15.04.00.
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1">
      <selection activeCell="C12" sqref="C12"/>
    </sheetView>
  </sheetViews>
  <sheetFormatPr defaultColWidth="9.140625" defaultRowHeight="12.75"/>
  <cols>
    <col min="1" max="1" width="39.7109375" style="430" customWidth="1"/>
    <col min="2" max="5" width="12.7109375" style="430" customWidth="1"/>
    <col min="6" max="16384" width="8.00390625" style="430" customWidth="1"/>
  </cols>
  <sheetData>
    <row r="1" spans="1:5" s="438" customFormat="1" ht="12.75">
      <c r="A1" s="429" t="s">
        <v>645</v>
      </c>
      <c r="B1" s="429"/>
      <c r="C1" s="429"/>
      <c r="D1" s="429"/>
      <c r="E1" s="429" t="s">
        <v>646</v>
      </c>
    </row>
    <row r="2" spans="1:5" s="438" customFormat="1" ht="12.75">
      <c r="A2" s="429"/>
      <c r="B2" s="429"/>
      <c r="C2" s="429"/>
      <c r="D2" s="429"/>
      <c r="E2" s="527"/>
    </row>
    <row r="3" spans="4:5" ht="11.25">
      <c r="D3" s="437"/>
      <c r="E3" s="437"/>
    </row>
    <row r="4" spans="1:5" s="435" customFormat="1" ht="31.5">
      <c r="A4" s="432" t="s">
        <v>647</v>
      </c>
      <c r="B4" s="437"/>
      <c r="C4" s="437"/>
      <c r="D4" s="437"/>
      <c r="E4" s="437"/>
    </row>
    <row r="5" spans="1:5" ht="15.75">
      <c r="A5" s="432" t="s">
        <v>581</v>
      </c>
      <c r="B5" s="437"/>
      <c r="C5" s="437"/>
      <c r="D5" s="437"/>
      <c r="E5" s="437"/>
    </row>
    <row r="6" spans="1:5" ht="11.25">
      <c r="A6" s="501"/>
      <c r="B6" s="437"/>
      <c r="C6" s="437"/>
      <c r="D6" s="437"/>
      <c r="E6" s="437"/>
    </row>
    <row r="7" spans="1:5" ht="11.25">
      <c r="A7" s="501"/>
      <c r="B7" s="437"/>
      <c r="C7" s="437"/>
      <c r="D7" s="437"/>
      <c r="E7" s="437"/>
    </row>
    <row r="8" spans="2:81" s="438" customFormat="1" ht="15">
      <c r="B8" s="480"/>
      <c r="C8" s="480"/>
      <c r="D8" s="528" t="s">
        <v>648</v>
      </c>
      <c r="E8" s="44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5"/>
      <c r="AN8" s="435"/>
      <c r="AO8" s="435"/>
      <c r="AP8" s="435"/>
      <c r="AQ8" s="435"/>
      <c r="AR8" s="435"/>
      <c r="AS8" s="435"/>
      <c r="AT8" s="435"/>
      <c r="AU8" s="435"/>
      <c r="AV8" s="435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  <c r="CB8" s="430"/>
      <c r="CC8" s="430"/>
    </row>
    <row r="9" spans="1:254" s="444" customFormat="1" ht="33.75" customHeight="1">
      <c r="A9" s="484" t="s">
        <v>59</v>
      </c>
      <c r="B9" s="485" t="s">
        <v>540</v>
      </c>
      <c r="C9" s="485" t="s">
        <v>112</v>
      </c>
      <c r="D9" s="485" t="s">
        <v>541</v>
      </c>
      <c r="E9" s="486" t="s">
        <v>377</v>
      </c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85"/>
      <c r="CE9" s="486"/>
      <c r="CF9" s="484"/>
      <c r="CG9" s="485"/>
      <c r="CH9" s="485"/>
      <c r="CI9" s="485"/>
      <c r="CJ9" s="486"/>
      <c r="CK9" s="484"/>
      <c r="CL9" s="485"/>
      <c r="CM9" s="485"/>
      <c r="CN9" s="485"/>
      <c r="CO9" s="486"/>
      <c r="CP9" s="484"/>
      <c r="CQ9" s="485"/>
      <c r="CR9" s="485"/>
      <c r="CS9" s="485"/>
      <c r="CT9" s="486"/>
      <c r="CU9" s="484"/>
      <c r="CV9" s="485"/>
      <c r="CW9" s="485"/>
      <c r="CX9" s="485"/>
      <c r="CY9" s="486"/>
      <c r="CZ9" s="484"/>
      <c r="DA9" s="485"/>
      <c r="DB9" s="485"/>
      <c r="DC9" s="485"/>
      <c r="DD9" s="486"/>
      <c r="DE9" s="484"/>
      <c r="DF9" s="485"/>
      <c r="DG9" s="485"/>
      <c r="DH9" s="485"/>
      <c r="DI9" s="486"/>
      <c r="DJ9" s="484"/>
      <c r="DK9" s="485"/>
      <c r="DL9" s="485"/>
      <c r="DM9" s="485"/>
      <c r="DN9" s="486"/>
      <c r="DO9" s="484"/>
      <c r="DP9" s="485"/>
      <c r="DQ9" s="485"/>
      <c r="DR9" s="485"/>
      <c r="DS9" s="486"/>
      <c r="DT9" s="484"/>
      <c r="DU9" s="485"/>
      <c r="DV9" s="485"/>
      <c r="DW9" s="485"/>
      <c r="DX9" s="486"/>
      <c r="DY9" s="484"/>
      <c r="DZ9" s="485"/>
      <c r="EA9" s="485"/>
      <c r="EB9" s="485"/>
      <c r="EC9" s="486"/>
      <c r="ED9" s="484"/>
      <c r="EE9" s="485"/>
      <c r="EF9" s="485"/>
      <c r="EG9" s="485"/>
      <c r="EH9" s="486"/>
      <c r="EI9" s="484"/>
      <c r="EJ9" s="485"/>
      <c r="EK9" s="485"/>
      <c r="EL9" s="485"/>
      <c r="EM9" s="486"/>
      <c r="EN9" s="484"/>
      <c r="EO9" s="485"/>
      <c r="EP9" s="485"/>
      <c r="EQ9" s="485"/>
      <c r="ER9" s="486"/>
      <c r="ES9" s="484"/>
      <c r="ET9" s="485"/>
      <c r="EU9" s="485"/>
      <c r="EV9" s="485"/>
      <c r="EW9" s="486"/>
      <c r="EX9" s="484"/>
      <c r="EY9" s="485"/>
      <c r="EZ9" s="485"/>
      <c r="FA9" s="485"/>
      <c r="FB9" s="486"/>
      <c r="FC9" s="484"/>
      <c r="FD9" s="485"/>
      <c r="FE9" s="485"/>
      <c r="FF9" s="485"/>
      <c r="FG9" s="486"/>
      <c r="FH9" s="484"/>
      <c r="FI9" s="485"/>
      <c r="FJ9" s="485"/>
      <c r="FK9" s="485"/>
      <c r="FL9" s="486"/>
      <c r="FM9" s="484"/>
      <c r="FN9" s="485"/>
      <c r="FO9" s="485"/>
      <c r="FP9" s="485"/>
      <c r="FQ9" s="486"/>
      <c r="FR9" s="484"/>
      <c r="FS9" s="485"/>
      <c r="FT9" s="485"/>
      <c r="FU9" s="485"/>
      <c r="FV9" s="486"/>
      <c r="FW9" s="484"/>
      <c r="FX9" s="485"/>
      <c r="FY9" s="485"/>
      <c r="FZ9" s="485"/>
      <c r="GA9" s="486"/>
      <c r="GB9" s="484"/>
      <c r="GC9" s="485"/>
      <c r="GD9" s="485"/>
      <c r="GE9" s="485"/>
      <c r="GF9" s="486"/>
      <c r="GG9" s="484"/>
      <c r="GH9" s="485"/>
      <c r="GI9" s="485"/>
      <c r="GJ9" s="485"/>
      <c r="GK9" s="486"/>
      <c r="GL9" s="484"/>
      <c r="GM9" s="485"/>
      <c r="GN9" s="485"/>
      <c r="GO9" s="485"/>
      <c r="GP9" s="486"/>
      <c r="GQ9" s="484"/>
      <c r="GR9" s="485"/>
      <c r="GS9" s="485"/>
      <c r="GT9" s="485"/>
      <c r="GU9" s="486"/>
      <c r="GV9" s="484"/>
      <c r="GW9" s="485"/>
      <c r="GX9" s="485"/>
      <c r="GY9" s="485"/>
      <c r="GZ9" s="486"/>
      <c r="HA9" s="484"/>
      <c r="HB9" s="485"/>
      <c r="HC9" s="485"/>
      <c r="HD9" s="485"/>
      <c r="HE9" s="486"/>
      <c r="HF9" s="484"/>
      <c r="HG9" s="485"/>
      <c r="HH9" s="485"/>
      <c r="HI9" s="485"/>
      <c r="HJ9" s="486"/>
      <c r="HK9" s="484"/>
      <c r="HL9" s="485"/>
      <c r="HM9" s="485"/>
      <c r="HN9" s="485"/>
      <c r="HO9" s="486"/>
      <c r="HP9" s="484"/>
      <c r="HQ9" s="485"/>
      <c r="HR9" s="485"/>
      <c r="HS9" s="485"/>
      <c r="HT9" s="486"/>
      <c r="HU9" s="484"/>
      <c r="HV9" s="485"/>
      <c r="HW9" s="485"/>
      <c r="HX9" s="485"/>
      <c r="HY9" s="486"/>
      <c r="HZ9" s="484"/>
      <c r="IA9" s="485"/>
      <c r="IB9" s="485"/>
      <c r="IC9" s="485"/>
      <c r="ID9" s="486"/>
      <c r="IE9" s="484"/>
      <c r="IF9" s="485"/>
      <c r="IG9" s="485"/>
      <c r="IH9" s="485"/>
      <c r="II9" s="486"/>
      <c r="IJ9" s="484"/>
      <c r="IK9" s="485"/>
      <c r="IL9" s="485"/>
      <c r="IM9" s="485"/>
      <c r="IN9" s="486"/>
      <c r="IO9" s="484"/>
      <c r="IP9" s="485"/>
      <c r="IQ9" s="485"/>
      <c r="IR9" s="485"/>
      <c r="IS9" s="486"/>
      <c r="IT9" s="484"/>
    </row>
    <row r="10" spans="1:5" ht="11.25">
      <c r="A10" s="513">
        <v>1</v>
      </c>
      <c r="B10" s="514">
        <v>2</v>
      </c>
      <c r="C10" s="514">
        <v>3</v>
      </c>
      <c r="D10" s="515">
        <v>4</v>
      </c>
      <c r="E10" s="516">
        <v>5</v>
      </c>
    </row>
    <row r="11" spans="1:5" s="444" customFormat="1" ht="12.75" customHeight="1">
      <c r="A11" s="452" t="s">
        <v>315</v>
      </c>
      <c r="B11" s="449"/>
      <c r="C11" s="449">
        <v>13429</v>
      </c>
      <c r="D11" s="518"/>
      <c r="E11" s="451">
        <v>6972</v>
      </c>
    </row>
    <row r="12" spans="1:5" s="444" customFormat="1" ht="12.75">
      <c r="A12" s="452" t="s">
        <v>608</v>
      </c>
      <c r="B12" s="449"/>
      <c r="C12" s="449">
        <f>SUM(C13+C32)</f>
        <v>9538</v>
      </c>
      <c r="D12" s="518"/>
      <c r="E12" s="451">
        <f>SUM(E13+E32)</f>
        <v>3842</v>
      </c>
    </row>
    <row r="13" spans="1:5" s="467" customFormat="1" ht="11.25" customHeight="1">
      <c r="A13" s="487" t="s">
        <v>323</v>
      </c>
      <c r="B13" s="449"/>
      <c r="C13" s="449">
        <v>7667</v>
      </c>
      <c r="D13" s="518"/>
      <c r="E13" s="451">
        <v>2972</v>
      </c>
    </row>
    <row r="14" spans="1:5" s="467" customFormat="1" ht="11.25" customHeight="1">
      <c r="A14" s="504" t="s">
        <v>324</v>
      </c>
      <c r="B14" s="449"/>
      <c r="C14" s="449">
        <v>5880</v>
      </c>
      <c r="D14" s="518"/>
      <c r="E14" s="451">
        <v>2265</v>
      </c>
    </row>
    <row r="15" spans="1:5" s="467" customFormat="1" ht="11.25" customHeight="1" hidden="1">
      <c r="A15" s="489" t="s">
        <v>609</v>
      </c>
      <c r="B15" s="449"/>
      <c r="C15" s="449">
        <v>0</v>
      </c>
      <c r="D15" s="518"/>
      <c r="E15" s="451"/>
    </row>
    <row r="16" spans="1:5" ht="12">
      <c r="A16" s="489" t="s">
        <v>610</v>
      </c>
      <c r="B16" s="449"/>
      <c r="C16" s="449">
        <v>571</v>
      </c>
      <c r="D16" s="518"/>
      <c r="E16" s="451">
        <v>207</v>
      </c>
    </row>
    <row r="17" spans="1:5" ht="12">
      <c r="A17" s="489" t="s">
        <v>611</v>
      </c>
      <c r="B17" s="449"/>
      <c r="C17" s="449">
        <v>147</v>
      </c>
      <c r="D17" s="518"/>
      <c r="E17" s="451">
        <v>52</v>
      </c>
    </row>
    <row r="18" spans="1:5" ht="12" hidden="1">
      <c r="A18" s="489" t="s">
        <v>612</v>
      </c>
      <c r="B18" s="449"/>
      <c r="C18" s="449">
        <v>59</v>
      </c>
      <c r="D18" s="518"/>
      <c r="E18" s="451"/>
    </row>
    <row r="19" spans="1:5" ht="12" hidden="1">
      <c r="A19" s="489" t="s">
        <v>613</v>
      </c>
      <c r="B19" s="449"/>
      <c r="C19" s="449">
        <v>4620</v>
      </c>
      <c r="D19" s="518"/>
      <c r="E19" s="451"/>
    </row>
    <row r="20" spans="1:5" ht="12" hidden="1">
      <c r="A20" s="489" t="s">
        <v>614</v>
      </c>
      <c r="B20" s="449"/>
      <c r="C20" s="449">
        <v>477</v>
      </c>
      <c r="D20" s="518"/>
      <c r="E20" s="451"/>
    </row>
    <row r="21" spans="1:5" ht="12" hidden="1">
      <c r="A21" s="489" t="s">
        <v>615</v>
      </c>
      <c r="B21" s="449"/>
      <c r="C21" s="449">
        <v>5</v>
      </c>
      <c r="D21" s="518"/>
      <c r="E21" s="451"/>
    </row>
    <row r="22" spans="1:5" ht="12">
      <c r="A22" s="489" t="s">
        <v>616</v>
      </c>
      <c r="B22" s="449"/>
      <c r="C22" s="449">
        <v>5162</v>
      </c>
      <c r="D22" s="518"/>
      <c r="E22" s="451">
        <v>2006</v>
      </c>
    </row>
    <row r="23" spans="1:5" ht="12">
      <c r="A23" s="505" t="s">
        <v>617</v>
      </c>
      <c r="B23" s="449"/>
      <c r="C23" s="449">
        <v>5098</v>
      </c>
      <c r="D23" s="518"/>
      <c r="E23" s="451">
        <v>1984</v>
      </c>
    </row>
    <row r="24" spans="1:5" ht="12">
      <c r="A24" s="505" t="s">
        <v>649</v>
      </c>
      <c r="B24" s="449"/>
      <c r="C24" s="449">
        <v>64</v>
      </c>
      <c r="D24" s="518"/>
      <c r="E24" s="451">
        <v>22</v>
      </c>
    </row>
    <row r="25" spans="1:5" ht="12">
      <c r="A25" s="504" t="s">
        <v>619</v>
      </c>
      <c r="B25" s="449"/>
      <c r="C25" s="449">
        <v>8</v>
      </c>
      <c r="D25" s="518"/>
      <c r="E25" s="451"/>
    </row>
    <row r="26" spans="1:5" ht="12">
      <c r="A26" s="504" t="s">
        <v>333</v>
      </c>
      <c r="B26" s="449"/>
      <c r="C26" s="449">
        <v>1779</v>
      </c>
      <c r="D26" s="518"/>
      <c r="E26" s="451">
        <v>707</v>
      </c>
    </row>
    <row r="27" spans="1:5" ht="12">
      <c r="A27" s="489" t="s">
        <v>620</v>
      </c>
      <c r="B27" s="449"/>
      <c r="C27" s="449">
        <v>14</v>
      </c>
      <c r="D27" s="518"/>
      <c r="E27" s="451">
        <v>13</v>
      </c>
    </row>
    <row r="28" spans="1:5" ht="12">
      <c r="A28" s="489" t="s">
        <v>621</v>
      </c>
      <c r="B28" s="449"/>
      <c r="C28" s="449">
        <v>40</v>
      </c>
      <c r="D28" s="518"/>
      <c r="E28" s="451">
        <v>40</v>
      </c>
    </row>
    <row r="29" spans="1:5" ht="12">
      <c r="A29" s="489" t="s">
        <v>622</v>
      </c>
      <c r="B29" s="449"/>
      <c r="C29" s="449">
        <v>68</v>
      </c>
      <c r="D29" s="518"/>
      <c r="E29" s="451">
        <v>11</v>
      </c>
    </row>
    <row r="30" spans="1:5" ht="12">
      <c r="A30" s="489" t="s">
        <v>623</v>
      </c>
      <c r="B30" s="449"/>
      <c r="C30" s="449">
        <v>1063</v>
      </c>
      <c r="D30" s="518"/>
      <c r="E30" s="451">
        <v>445</v>
      </c>
    </row>
    <row r="31" spans="1:5" ht="12">
      <c r="A31" s="489" t="s">
        <v>624</v>
      </c>
      <c r="B31" s="449"/>
      <c r="C31" s="449">
        <v>594</v>
      </c>
      <c r="D31" s="518"/>
      <c r="E31" s="451">
        <v>198</v>
      </c>
    </row>
    <row r="32" spans="1:7" s="467" customFormat="1" ht="11.25" customHeight="1">
      <c r="A32" s="487" t="s">
        <v>625</v>
      </c>
      <c r="B32" s="449"/>
      <c r="C32" s="449">
        <v>1871</v>
      </c>
      <c r="D32" s="518"/>
      <c r="E32" s="451">
        <v>870</v>
      </c>
      <c r="G32" s="430"/>
    </row>
    <row r="33" spans="1:7" s="467" customFormat="1" ht="11.25" customHeight="1">
      <c r="A33" s="449" t="s">
        <v>354</v>
      </c>
      <c r="B33" s="449"/>
      <c r="C33" s="449">
        <v>1867</v>
      </c>
      <c r="D33" s="518"/>
      <c r="E33" s="451">
        <v>869</v>
      </c>
      <c r="F33" s="430"/>
      <c r="G33" s="430"/>
    </row>
    <row r="34" spans="1:5" ht="12" hidden="1">
      <c r="A34" s="529" t="s">
        <v>354</v>
      </c>
      <c r="B34" s="449"/>
      <c r="C34" s="449">
        <v>94334</v>
      </c>
      <c r="D34" s="518"/>
      <c r="E34" s="451"/>
    </row>
    <row r="35" spans="1:5" ht="12" hidden="1">
      <c r="A35" s="489" t="s">
        <v>626</v>
      </c>
      <c r="B35" s="449"/>
      <c r="C35" s="449">
        <v>86642</v>
      </c>
      <c r="D35" s="518"/>
      <c r="E35" s="451"/>
    </row>
    <row r="36" spans="1:5" ht="12">
      <c r="A36" s="449" t="s">
        <v>356</v>
      </c>
      <c r="B36" s="449"/>
      <c r="C36" s="449">
        <v>4</v>
      </c>
      <c r="D36" s="518"/>
      <c r="E36" s="451">
        <v>1</v>
      </c>
    </row>
    <row r="37" spans="1:7" s="467" customFormat="1" ht="11.25" customHeight="1">
      <c r="A37" s="487" t="s">
        <v>627</v>
      </c>
      <c r="B37" s="449"/>
      <c r="C37" s="449">
        <v>520</v>
      </c>
      <c r="D37" s="518"/>
      <c r="E37" s="451">
        <v>490</v>
      </c>
      <c r="G37" s="430"/>
    </row>
    <row r="38" spans="1:5" ht="12.75" customHeight="1">
      <c r="A38" s="489" t="s">
        <v>628</v>
      </c>
      <c r="B38" s="449"/>
      <c r="C38" s="449">
        <v>962</v>
      </c>
      <c r="D38" s="518"/>
      <c r="E38" s="451">
        <v>620</v>
      </c>
    </row>
    <row r="39" spans="1:5" ht="12.75" customHeight="1">
      <c r="A39" s="491" t="s">
        <v>629</v>
      </c>
      <c r="B39" s="462"/>
      <c r="C39" s="462">
        <v>442</v>
      </c>
      <c r="D39" s="522"/>
      <c r="E39" s="464">
        <v>130</v>
      </c>
    </row>
    <row r="40" spans="1:5" ht="12.75" customHeight="1">
      <c r="A40" s="530" t="s">
        <v>469</v>
      </c>
      <c r="B40" s="509"/>
      <c r="C40" s="509">
        <f>C11-C12-C37</f>
        <v>3371</v>
      </c>
      <c r="D40" s="531"/>
      <c r="E40" s="511">
        <f>E11-E12-E37</f>
        <v>2640</v>
      </c>
    </row>
    <row r="41" spans="1:4" ht="12">
      <c r="A41" s="475"/>
      <c r="B41" s="496"/>
      <c r="C41" s="496"/>
      <c r="D41" s="532"/>
    </row>
    <row r="42" ht="11.25">
      <c r="A42" s="501"/>
    </row>
    <row r="43" spans="1:7" s="474" customFormat="1" ht="12">
      <c r="A43" s="501"/>
      <c r="B43" s="430"/>
      <c r="C43" s="430"/>
      <c r="D43" s="430"/>
      <c r="E43" s="430"/>
      <c r="F43" s="430"/>
      <c r="G43" s="430"/>
    </row>
    <row r="44" spans="1:7" s="474" customFormat="1" ht="12">
      <c r="A44" s="475"/>
      <c r="B44" s="430"/>
      <c r="C44" s="430"/>
      <c r="D44" s="430"/>
      <c r="E44" s="430"/>
      <c r="F44" s="430"/>
      <c r="G44" s="430"/>
    </row>
    <row r="45" spans="1:254" s="444" customFormat="1" ht="12.75">
      <c r="A45" s="471" t="s">
        <v>575</v>
      </c>
      <c r="B45" s="471"/>
      <c r="C45" s="472"/>
      <c r="D45" s="533"/>
      <c r="E45" s="526" t="s">
        <v>650</v>
      </c>
      <c r="F45" s="430"/>
      <c r="G45" s="430"/>
      <c r="H45" s="500"/>
      <c r="I45" s="534"/>
      <c r="J45" s="534"/>
      <c r="K45" s="535"/>
      <c r="L45" s="430"/>
      <c r="M45" s="471"/>
      <c r="N45" s="471"/>
      <c r="O45" s="474"/>
      <c r="P45" s="474"/>
      <c r="Q45" s="474"/>
      <c r="R45" s="474"/>
      <c r="S45" s="430"/>
      <c r="T45" s="471"/>
      <c r="U45" s="471"/>
      <c r="V45" s="500"/>
      <c r="W45" s="536"/>
      <c r="X45" s="536"/>
      <c r="Y45" s="535"/>
      <c r="Z45" s="430"/>
      <c r="AA45" s="471"/>
      <c r="AB45" s="471"/>
      <c r="AC45" s="500"/>
      <c r="AD45" s="536"/>
      <c r="AE45" s="536"/>
      <c r="AF45" s="535"/>
      <c r="AG45" s="430"/>
      <c r="AH45" s="471"/>
      <c r="AI45" s="471"/>
      <c r="AJ45" s="500"/>
      <c r="AK45" s="536"/>
      <c r="AL45" s="536"/>
      <c r="AM45" s="535"/>
      <c r="AN45" s="430"/>
      <c r="AO45" s="471"/>
      <c r="AP45" s="471"/>
      <c r="AQ45" s="500"/>
      <c r="AR45" s="536"/>
      <c r="AS45" s="536"/>
      <c r="AT45" s="535"/>
      <c r="AU45" s="430"/>
      <c r="AV45" s="471"/>
      <c r="AW45" s="471"/>
      <c r="AX45" s="500"/>
      <c r="AY45" s="536"/>
      <c r="AZ45" s="536"/>
      <c r="BA45" s="535"/>
      <c r="BB45" s="430"/>
      <c r="BC45" s="471"/>
      <c r="BD45" s="471"/>
      <c r="BE45" s="500"/>
      <c r="BF45" s="536"/>
      <c r="BG45" s="536"/>
      <c r="BH45" s="535"/>
      <c r="BI45" s="430"/>
      <c r="BJ45" s="471"/>
      <c r="BK45" s="471"/>
      <c r="BL45" s="500"/>
      <c r="BM45" s="536"/>
      <c r="BN45" s="536"/>
      <c r="BO45" s="535"/>
      <c r="BP45" s="430"/>
      <c r="BQ45" s="471"/>
      <c r="BR45" s="471"/>
      <c r="BS45" s="500"/>
      <c r="BT45" s="536"/>
      <c r="BU45" s="536"/>
      <c r="BV45" s="535"/>
      <c r="BW45" s="430"/>
      <c r="BX45" s="471"/>
      <c r="BY45" s="471"/>
      <c r="BZ45" s="500"/>
      <c r="CA45" s="536"/>
      <c r="CB45" s="536"/>
      <c r="CC45" s="535"/>
      <c r="CD45" s="430"/>
      <c r="CE45" s="471"/>
      <c r="CF45" s="471"/>
      <c r="CG45" s="500"/>
      <c r="CH45" s="536"/>
      <c r="CI45" s="536"/>
      <c r="CJ45" s="535"/>
      <c r="CK45" s="430"/>
      <c r="CL45" s="471"/>
      <c r="CM45" s="471"/>
      <c r="CN45" s="500"/>
      <c r="CO45" s="536"/>
      <c r="CP45" s="536"/>
      <c r="CQ45" s="535"/>
      <c r="CR45" s="430"/>
      <c r="CS45" s="471"/>
      <c r="CT45" s="471"/>
      <c r="CU45" s="500"/>
      <c r="CV45" s="536"/>
      <c r="CW45" s="536"/>
      <c r="CX45" s="535"/>
      <c r="CY45" s="430"/>
      <c r="CZ45" s="471"/>
      <c r="DA45" s="471"/>
      <c r="DB45" s="500"/>
      <c r="DC45" s="536"/>
      <c r="DD45" s="536"/>
      <c r="DE45" s="535"/>
      <c r="DF45" s="430"/>
      <c r="DG45" s="471"/>
      <c r="DH45" s="471"/>
      <c r="DI45" s="500"/>
      <c r="DJ45" s="536"/>
      <c r="DK45" s="536"/>
      <c r="DL45" s="535"/>
      <c r="DM45" s="430"/>
      <c r="DN45" s="471"/>
      <c r="DO45" s="471"/>
      <c r="DP45" s="500"/>
      <c r="DQ45" s="536"/>
      <c r="DR45" s="536"/>
      <c r="DS45" s="535"/>
      <c r="DT45" s="430"/>
      <c r="DU45" s="471"/>
      <c r="DV45" s="471"/>
      <c r="DW45" s="500"/>
      <c r="DX45" s="536"/>
      <c r="DY45" s="536"/>
      <c r="DZ45" s="535"/>
      <c r="EA45" s="430"/>
      <c r="EB45" s="471"/>
      <c r="EC45" s="471"/>
      <c r="ED45" s="500"/>
      <c r="EE45" s="536"/>
      <c r="EF45" s="536"/>
      <c r="EG45" s="535"/>
      <c r="EH45" s="430"/>
      <c r="EI45" s="471"/>
      <c r="EJ45" s="471"/>
      <c r="EK45" s="500"/>
      <c r="EL45" s="536"/>
      <c r="EM45" s="536"/>
      <c r="EN45" s="535"/>
      <c r="EO45" s="430"/>
      <c r="EP45" s="471"/>
      <c r="EQ45" s="471"/>
      <c r="ER45" s="500"/>
      <c r="ES45" s="536"/>
      <c r="ET45" s="536"/>
      <c r="EU45" s="535"/>
      <c r="EV45" s="430"/>
      <c r="EW45" s="471"/>
      <c r="EX45" s="471"/>
      <c r="EY45" s="500"/>
      <c r="EZ45" s="536"/>
      <c r="FA45" s="536"/>
      <c r="FB45" s="535"/>
      <c r="FC45" s="430"/>
      <c r="FD45" s="471"/>
      <c r="FE45" s="471"/>
      <c r="FF45" s="500"/>
      <c r="FG45" s="536"/>
      <c r="FH45" s="536"/>
      <c r="FI45" s="535"/>
      <c r="FJ45" s="430"/>
      <c r="FK45" s="471"/>
      <c r="FL45" s="471"/>
      <c r="FM45" s="500"/>
      <c r="FN45" s="536"/>
      <c r="FO45" s="536"/>
      <c r="FP45" s="535"/>
      <c r="FQ45" s="430"/>
      <c r="FR45" s="471"/>
      <c r="FS45" s="471"/>
      <c r="FT45" s="500"/>
      <c r="FU45" s="536"/>
      <c r="FV45" s="536"/>
      <c r="FW45" s="535"/>
      <c r="FX45" s="430"/>
      <c r="FY45" s="471"/>
      <c r="FZ45" s="471"/>
      <c r="GA45" s="500"/>
      <c r="GB45" s="536"/>
      <c r="GC45" s="536"/>
      <c r="GD45" s="535"/>
      <c r="GE45" s="430"/>
      <c r="GF45" s="471"/>
      <c r="GG45" s="471"/>
      <c r="GH45" s="500"/>
      <c r="GI45" s="536"/>
      <c r="GJ45" s="536"/>
      <c r="GK45" s="535"/>
      <c r="GL45" s="430"/>
      <c r="GM45" s="471"/>
      <c r="GN45" s="471"/>
      <c r="GO45" s="500"/>
      <c r="GP45" s="536"/>
      <c r="GQ45" s="536"/>
      <c r="GR45" s="535"/>
      <c r="GS45" s="430"/>
      <c r="GT45" s="471"/>
      <c r="GU45" s="471"/>
      <c r="GV45" s="500"/>
      <c r="GW45" s="536"/>
      <c r="GX45" s="536"/>
      <c r="GY45" s="535"/>
      <c r="GZ45" s="430"/>
      <c r="HA45" s="471"/>
      <c r="HB45" s="471"/>
      <c r="HC45" s="500"/>
      <c r="HD45" s="536"/>
      <c r="HE45" s="536"/>
      <c r="HF45" s="535"/>
      <c r="HG45" s="430"/>
      <c r="HH45" s="471"/>
      <c r="HI45" s="471"/>
      <c r="HJ45" s="500"/>
      <c r="HK45" s="536"/>
      <c r="HL45" s="536"/>
      <c r="HM45" s="535"/>
      <c r="HN45" s="430"/>
      <c r="HO45" s="471"/>
      <c r="HP45" s="471"/>
      <c r="HQ45" s="500"/>
      <c r="HR45" s="536"/>
      <c r="HS45" s="536"/>
      <c r="HT45" s="535"/>
      <c r="HU45" s="430"/>
      <c r="HV45" s="471"/>
      <c r="HW45" s="471"/>
      <c r="HX45" s="500"/>
      <c r="HY45" s="536"/>
      <c r="HZ45" s="536"/>
      <c r="IA45" s="535"/>
      <c r="IB45" s="430"/>
      <c r="IC45" s="471"/>
      <c r="ID45" s="471"/>
      <c r="IE45" s="500"/>
      <c r="IF45" s="536"/>
      <c r="IG45" s="536"/>
      <c r="IH45" s="535"/>
      <c r="II45" s="430"/>
      <c r="IJ45" s="471"/>
      <c r="IK45" s="471"/>
      <c r="IL45" s="500"/>
      <c r="IM45" s="536"/>
      <c r="IN45" s="536"/>
      <c r="IO45" s="535"/>
      <c r="IP45" s="430"/>
      <c r="IQ45" s="471"/>
      <c r="IR45" s="471"/>
      <c r="IS45" s="500"/>
      <c r="IT45" s="536"/>
    </row>
    <row r="46" spans="2:253" s="471" customFormat="1" ht="16.5" customHeight="1">
      <c r="B46" s="466"/>
      <c r="C46" s="466"/>
      <c r="D46" s="430"/>
      <c r="E46" s="430"/>
      <c r="F46" s="430"/>
      <c r="G46" s="430"/>
      <c r="H46" s="500"/>
      <c r="I46" s="474"/>
      <c r="J46" s="500"/>
      <c r="K46" s="500"/>
      <c r="M46" s="474"/>
      <c r="O46" s="500"/>
      <c r="P46" s="474"/>
      <c r="Q46" s="500"/>
      <c r="R46" s="500"/>
      <c r="T46" s="474"/>
      <c r="V46" s="500"/>
      <c r="W46" s="474"/>
      <c r="X46" s="500"/>
      <c r="Y46" s="500"/>
      <c r="AA46" s="474"/>
      <c r="AC46" s="500"/>
      <c r="AD46" s="474"/>
      <c r="AE46" s="500"/>
      <c r="AF46" s="500"/>
      <c r="AH46" s="474"/>
      <c r="AJ46" s="500"/>
      <c r="AK46" s="474"/>
      <c r="AL46" s="500"/>
      <c r="AM46" s="500"/>
      <c r="AO46" s="474"/>
      <c r="AQ46" s="500"/>
      <c r="AR46" s="474"/>
      <c r="AS46" s="500"/>
      <c r="AT46" s="500"/>
      <c r="AV46" s="474"/>
      <c r="AX46" s="500"/>
      <c r="AY46" s="474"/>
      <c r="AZ46" s="500"/>
      <c r="BA46" s="500"/>
      <c r="BC46" s="474"/>
      <c r="BE46" s="500"/>
      <c r="BF46" s="474"/>
      <c r="BG46" s="500"/>
      <c r="BH46" s="500"/>
      <c r="BJ46" s="474"/>
      <c r="BL46" s="500"/>
      <c r="BM46" s="474"/>
      <c r="BN46" s="500"/>
      <c r="BO46" s="500"/>
      <c r="BQ46" s="474"/>
      <c r="BS46" s="500"/>
      <c r="BT46" s="474"/>
      <c r="BU46" s="500"/>
      <c r="BV46" s="500"/>
      <c r="BX46" s="474"/>
      <c r="BZ46" s="500"/>
      <c r="CA46" s="474"/>
      <c r="CB46" s="500"/>
      <c r="CC46" s="500"/>
      <c r="CE46" s="474"/>
      <c r="CG46" s="500"/>
      <c r="CH46" s="474"/>
      <c r="CI46" s="500"/>
      <c r="CJ46" s="500"/>
      <c r="CL46" s="474"/>
      <c r="CN46" s="500"/>
      <c r="CO46" s="474"/>
      <c r="CP46" s="500"/>
      <c r="CQ46" s="500"/>
      <c r="CS46" s="474"/>
      <c r="CU46" s="500"/>
      <c r="CV46" s="474"/>
      <c r="CW46" s="500"/>
      <c r="CX46" s="500"/>
      <c r="CZ46" s="474"/>
      <c r="DB46" s="500"/>
      <c r="DC46" s="474"/>
      <c r="DD46" s="500"/>
      <c r="DE46" s="500"/>
      <c r="DG46" s="474"/>
      <c r="DI46" s="500"/>
      <c r="DJ46" s="474"/>
      <c r="DK46" s="500"/>
      <c r="DL46" s="500"/>
      <c r="DN46" s="474"/>
      <c r="DP46" s="500"/>
      <c r="DQ46" s="474"/>
      <c r="DR46" s="500"/>
      <c r="DS46" s="500"/>
      <c r="DU46" s="474"/>
      <c r="DW46" s="500"/>
      <c r="DX46" s="474"/>
      <c r="DY46" s="500"/>
      <c r="DZ46" s="500"/>
      <c r="EB46" s="474"/>
      <c r="ED46" s="500"/>
      <c r="EE46" s="474"/>
      <c r="EF46" s="500"/>
      <c r="EG46" s="500"/>
      <c r="EI46" s="474"/>
      <c r="EK46" s="500"/>
      <c r="EL46" s="474"/>
      <c r="EM46" s="500"/>
      <c r="EN46" s="500"/>
      <c r="EP46" s="474"/>
      <c r="ER46" s="500"/>
      <c r="ES46" s="474"/>
      <c r="ET46" s="500"/>
      <c r="EU46" s="500"/>
      <c r="EW46" s="474"/>
      <c r="EY46" s="500"/>
      <c r="EZ46" s="474"/>
      <c r="FA46" s="500"/>
      <c r="FB46" s="500"/>
      <c r="FD46" s="474"/>
      <c r="FF46" s="500"/>
      <c r="FG46" s="474"/>
      <c r="FH46" s="500"/>
      <c r="FI46" s="500"/>
      <c r="FK46" s="474"/>
      <c r="FM46" s="500"/>
      <c r="FN46" s="474"/>
      <c r="FO46" s="500"/>
      <c r="FP46" s="500"/>
      <c r="FR46" s="474"/>
      <c r="FT46" s="500"/>
      <c r="FU46" s="474"/>
      <c r="FV46" s="500"/>
      <c r="FW46" s="500"/>
      <c r="FY46" s="474"/>
      <c r="GA46" s="500"/>
      <c r="GB46" s="474"/>
      <c r="GC46" s="500"/>
      <c r="GD46" s="500"/>
      <c r="GF46" s="474"/>
      <c r="GH46" s="500"/>
      <c r="GI46" s="474"/>
      <c r="GJ46" s="500"/>
      <c r="GK46" s="500"/>
      <c r="GM46" s="474"/>
      <c r="GO46" s="500"/>
      <c r="GP46" s="474"/>
      <c r="GQ46" s="500"/>
      <c r="GR46" s="500"/>
      <c r="GT46" s="474"/>
      <c r="GV46" s="500"/>
      <c r="GW46" s="474"/>
      <c r="GX46" s="500"/>
      <c r="GY46" s="500"/>
      <c r="HA46" s="474"/>
      <c r="HC46" s="500"/>
      <c r="HD46" s="474"/>
      <c r="HE46" s="500"/>
      <c r="HF46" s="500"/>
      <c r="HH46" s="474"/>
      <c r="HJ46" s="500"/>
      <c r="HK46" s="474"/>
      <c r="HL46" s="500"/>
      <c r="HM46" s="500"/>
      <c r="HO46" s="474"/>
      <c r="HQ46" s="500"/>
      <c r="HR46" s="474"/>
      <c r="HS46" s="500"/>
      <c r="HT46" s="500"/>
      <c r="HV46" s="474"/>
      <c r="HX46" s="500"/>
      <c r="HY46" s="474"/>
      <c r="HZ46" s="500"/>
      <c r="IA46" s="500"/>
      <c r="IC46" s="474"/>
      <c r="IE46" s="500"/>
      <c r="IF46" s="474"/>
      <c r="IG46" s="500"/>
      <c r="IH46" s="500"/>
      <c r="IJ46" s="474"/>
      <c r="IL46" s="500"/>
      <c r="IM46" s="474"/>
      <c r="IN46" s="500"/>
      <c r="IO46" s="500"/>
      <c r="IQ46" s="474"/>
      <c r="IS46" s="500"/>
    </row>
    <row r="47" spans="1:7" s="474" customFormat="1" ht="12.75">
      <c r="A47" s="501"/>
      <c r="B47" s="537"/>
      <c r="C47" s="537"/>
      <c r="D47" s="430"/>
      <c r="E47" s="430"/>
      <c r="F47" s="430"/>
      <c r="G47" s="430"/>
    </row>
    <row r="48" spans="1:7" s="444" customFormat="1" ht="12.75">
      <c r="A48" s="538"/>
      <c r="D48" s="430"/>
      <c r="E48" s="430"/>
      <c r="F48" s="430"/>
      <c r="G48" s="430"/>
    </row>
    <row r="49" spans="1:7" s="444" customFormat="1" ht="12.75">
      <c r="A49" s="469"/>
      <c r="B49" s="469"/>
      <c r="C49" s="469"/>
      <c r="D49" s="430"/>
      <c r="E49" s="430"/>
      <c r="F49" s="430"/>
      <c r="G49" s="430"/>
    </row>
    <row r="57" spans="4:7" ht="11.25">
      <c r="D57" s="430">
        <v>0</v>
      </c>
      <c r="E57" s="430">
        <v>0</v>
      </c>
      <c r="F57" s="430">
        <v>0</v>
      </c>
      <c r="G57" s="430">
        <v>0</v>
      </c>
    </row>
    <row r="58" spans="4:7" ht="11.25">
      <c r="D58" s="430">
        <v>0</v>
      </c>
      <c r="E58" s="430">
        <v>0</v>
      </c>
      <c r="F58" s="430">
        <v>0</v>
      </c>
      <c r="G58" s="430">
        <v>0</v>
      </c>
    </row>
    <row r="59" spans="4:7" ht="11.25">
      <c r="D59" s="430">
        <v>0</v>
      </c>
      <c r="E59" s="430">
        <v>0</v>
      </c>
      <c r="F59" s="430">
        <v>0</v>
      </c>
      <c r="G59" s="430">
        <v>0</v>
      </c>
    </row>
  </sheetData>
  <printOptions/>
  <pageMargins left="0.7480314960629921" right="0.15748031496062992" top="1.46" bottom="0.984251968503937" header="0" footer="0"/>
  <pageSetup firstPageNumber="30" useFirstPageNumber="1" horizontalDpi="600" verticalDpi="600" orientation="portrait" paperSize="9" r:id="rId1"/>
  <headerFooter alignWithMargins="0">
    <oddFooter>&amp;L&amp;"Arial,Regular"&amp;8Valsts kase / Pārskatu departaments
15.04.00.&amp;R&amp;P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F1">
      <selection activeCell="C12" sqref="C12"/>
    </sheetView>
  </sheetViews>
  <sheetFormatPr defaultColWidth="9.140625" defaultRowHeight="12.75"/>
  <cols>
    <col min="1" max="1" width="17.7109375" style="540" customWidth="1"/>
    <col min="2" max="2" width="8.8515625" style="430" customWidth="1"/>
    <col min="3" max="3" width="8.421875" style="430" customWidth="1"/>
    <col min="4" max="4" width="8.8515625" style="430" customWidth="1"/>
    <col min="5" max="5" width="8.57421875" style="430" customWidth="1"/>
    <col min="6" max="6" width="6.8515625" style="430" customWidth="1"/>
    <col min="7" max="7" width="8.421875" style="430" customWidth="1"/>
    <col min="8" max="8" width="11.28125" style="430" customWidth="1"/>
    <col min="9" max="9" width="10.140625" style="430" customWidth="1"/>
    <col min="10" max="10" width="8.57421875" style="430" customWidth="1"/>
    <col min="11" max="11" width="8.00390625" style="430" customWidth="1"/>
    <col min="12" max="13" width="7.57421875" style="430" customWidth="1"/>
    <col min="14" max="14" width="7.140625" style="430" customWidth="1"/>
    <col min="15" max="16" width="9.28125" style="430" customWidth="1"/>
    <col min="17" max="16384" width="8.00390625" style="430" customWidth="1"/>
  </cols>
  <sheetData>
    <row r="1" spans="1:16" ht="12.75">
      <c r="A1" s="539"/>
      <c r="B1" s="444"/>
      <c r="C1" s="444"/>
      <c r="D1" s="444"/>
      <c r="E1" s="444"/>
      <c r="F1" s="444" t="s">
        <v>651</v>
      </c>
      <c r="G1" s="444"/>
      <c r="H1" s="444"/>
      <c r="I1" s="444"/>
      <c r="J1" s="444"/>
      <c r="K1" s="444"/>
      <c r="L1" s="444"/>
      <c r="M1" s="444"/>
      <c r="N1" s="429"/>
      <c r="O1" s="429"/>
      <c r="P1" s="429" t="s">
        <v>652</v>
      </c>
    </row>
    <row r="2" spans="14:15" ht="12">
      <c r="N2" s="541"/>
      <c r="O2" s="437"/>
    </row>
    <row r="3" spans="1:16" s="444" customFormat="1" ht="12.75">
      <c r="A3" s="539"/>
      <c r="N3" s="429"/>
      <c r="O3" s="429"/>
      <c r="P3" s="429"/>
    </row>
    <row r="4" spans="1:16" s="435" customFormat="1" ht="15.75">
      <c r="A4" s="542" t="s">
        <v>653</v>
      </c>
      <c r="B4" s="542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</row>
    <row r="5" spans="1:16" s="545" customFormat="1" ht="15.75">
      <c r="A5" s="543" t="s">
        <v>581</v>
      </c>
      <c r="B5" s="543"/>
      <c r="C5" s="543"/>
      <c r="D5" s="543"/>
      <c r="E5" s="544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</row>
    <row r="6" spans="1:16" s="545" customFormat="1" ht="15.75">
      <c r="A6" s="543"/>
      <c r="B6" s="543"/>
      <c r="C6" s="543"/>
      <c r="D6" s="543"/>
      <c r="E6" s="544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</row>
    <row r="7" spans="1:16" s="438" customFormat="1" ht="11.25">
      <c r="A7" s="546"/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 t="s">
        <v>654</v>
      </c>
      <c r="N7" s="480"/>
      <c r="O7" s="440"/>
      <c r="P7" s="480"/>
    </row>
    <row r="8" spans="1:16" s="444" customFormat="1" ht="12.75">
      <c r="A8" s="547"/>
      <c r="B8" s="548" t="s">
        <v>389</v>
      </c>
      <c r="C8" s="548"/>
      <c r="D8" s="548"/>
      <c r="E8" s="549" t="s">
        <v>655</v>
      </c>
      <c r="F8" s="548"/>
      <c r="G8" s="548"/>
      <c r="H8" s="550"/>
      <c r="I8" s="550"/>
      <c r="J8" s="551" t="s">
        <v>656</v>
      </c>
      <c r="K8" s="548"/>
      <c r="L8" s="548"/>
      <c r="M8" s="552"/>
      <c r="N8" s="548"/>
      <c r="O8" s="553"/>
      <c r="P8" s="554"/>
    </row>
    <row r="9" spans="1:16" ht="11.25">
      <c r="A9" s="555"/>
      <c r="B9" s="483"/>
      <c r="C9" s="556"/>
      <c r="D9" s="556"/>
      <c r="E9" s="556"/>
      <c r="F9" s="556"/>
      <c r="G9" s="556"/>
      <c r="H9" s="556"/>
      <c r="I9" s="556"/>
      <c r="J9" s="556"/>
      <c r="K9" s="556"/>
      <c r="L9" s="557" t="s">
        <v>657</v>
      </c>
      <c r="M9" s="557"/>
      <c r="N9" s="483"/>
      <c r="O9" s="556"/>
      <c r="P9" s="558"/>
    </row>
    <row r="10" spans="1:16" s="565" customFormat="1" ht="45">
      <c r="A10" s="559" t="s">
        <v>658</v>
      </c>
      <c r="B10" s="560" t="s">
        <v>659</v>
      </c>
      <c r="C10" s="561" t="s">
        <v>660</v>
      </c>
      <c r="D10" s="562" t="s">
        <v>661</v>
      </c>
      <c r="E10" s="562" t="s">
        <v>662</v>
      </c>
      <c r="F10" s="562" t="s">
        <v>663</v>
      </c>
      <c r="G10" s="562" t="s">
        <v>664</v>
      </c>
      <c r="H10" s="562" t="s">
        <v>665</v>
      </c>
      <c r="I10" s="562" t="s">
        <v>666</v>
      </c>
      <c r="J10" s="562" t="s">
        <v>84</v>
      </c>
      <c r="K10" s="562" t="s">
        <v>667</v>
      </c>
      <c r="L10" s="562" t="s">
        <v>668</v>
      </c>
      <c r="M10" s="562" t="s">
        <v>669</v>
      </c>
      <c r="N10" s="562" t="s">
        <v>670</v>
      </c>
      <c r="O10" s="563" t="s">
        <v>671</v>
      </c>
      <c r="P10" s="564" t="s">
        <v>672</v>
      </c>
    </row>
    <row r="11" spans="1:16" s="438" customFormat="1" ht="11.25">
      <c r="A11" s="566">
        <v>1</v>
      </c>
      <c r="B11" s="567">
        <v>2</v>
      </c>
      <c r="C11" s="567">
        <v>3</v>
      </c>
      <c r="D11" s="567">
        <v>4</v>
      </c>
      <c r="E11" s="567">
        <v>5</v>
      </c>
      <c r="F11" s="567">
        <v>6</v>
      </c>
      <c r="G11" s="567">
        <v>7</v>
      </c>
      <c r="H11" s="567">
        <v>8</v>
      </c>
      <c r="I11" s="567">
        <v>9</v>
      </c>
      <c r="J11" s="567">
        <v>10</v>
      </c>
      <c r="K11" s="567">
        <v>11</v>
      </c>
      <c r="L11" s="567">
        <v>12</v>
      </c>
      <c r="M11" s="567">
        <v>13</v>
      </c>
      <c r="N11" s="567">
        <v>14</v>
      </c>
      <c r="O11" s="567">
        <v>15</v>
      </c>
      <c r="P11" s="568">
        <v>16</v>
      </c>
    </row>
    <row r="12" spans="1:16" ht="12.75">
      <c r="A12" s="569" t="s">
        <v>673</v>
      </c>
      <c r="B12" s="570"/>
      <c r="C12" s="570"/>
      <c r="D12" s="570"/>
      <c r="E12" s="570"/>
      <c r="F12" s="570"/>
      <c r="G12" s="570"/>
      <c r="H12" s="570"/>
      <c r="I12" s="570"/>
      <c r="J12" s="570">
        <v>0</v>
      </c>
      <c r="K12" s="570"/>
      <c r="L12" s="570"/>
      <c r="M12" s="570"/>
      <c r="N12" s="570"/>
      <c r="O12" s="570"/>
      <c r="P12" s="571">
        <v>0</v>
      </c>
    </row>
    <row r="13" spans="1:16" ht="12">
      <c r="A13" s="455" t="s">
        <v>674</v>
      </c>
      <c r="B13" s="572">
        <v>28045053</v>
      </c>
      <c r="C13" s="572">
        <v>5534265</v>
      </c>
      <c r="D13" s="572">
        <v>33579318</v>
      </c>
      <c r="E13" s="572">
        <v>27596529</v>
      </c>
      <c r="F13" s="572">
        <v>4456133</v>
      </c>
      <c r="G13" s="572">
        <v>32052662</v>
      </c>
      <c r="H13" s="572">
        <v>1526656</v>
      </c>
      <c r="I13" s="572">
        <v>-1526656</v>
      </c>
      <c r="J13" s="572">
        <v>-5000000</v>
      </c>
      <c r="K13" s="572">
        <v>580573</v>
      </c>
      <c r="L13" s="572">
        <v>5748463</v>
      </c>
      <c r="M13" s="572">
        <v>5167890</v>
      </c>
      <c r="N13" s="572">
        <v>-7300000</v>
      </c>
      <c r="O13" s="572">
        <v>10169302</v>
      </c>
      <c r="P13" s="573">
        <v>23469</v>
      </c>
    </row>
    <row r="14" spans="1:16" ht="12">
      <c r="A14" s="574" t="s">
        <v>675</v>
      </c>
      <c r="B14" s="572">
        <v>2491473</v>
      </c>
      <c r="C14" s="572">
        <v>885891</v>
      </c>
      <c r="D14" s="572">
        <v>3377364</v>
      </c>
      <c r="E14" s="572">
        <v>3827129</v>
      </c>
      <c r="F14" s="572">
        <v>122</v>
      </c>
      <c r="G14" s="572">
        <v>3827251</v>
      </c>
      <c r="H14" s="572">
        <v>-449887</v>
      </c>
      <c r="I14" s="572">
        <v>449887</v>
      </c>
      <c r="J14" s="572">
        <v>400000</v>
      </c>
      <c r="K14" s="572">
        <v>-121063</v>
      </c>
      <c r="L14" s="572">
        <v>70515</v>
      </c>
      <c r="M14" s="572">
        <v>191578</v>
      </c>
      <c r="N14" s="572">
        <v>0</v>
      </c>
      <c r="O14" s="572">
        <v>170950</v>
      </c>
      <c r="P14" s="573">
        <v>0</v>
      </c>
    </row>
    <row r="15" spans="1:16" ht="12">
      <c r="A15" s="574" t="s">
        <v>676</v>
      </c>
      <c r="B15" s="572">
        <v>1551353</v>
      </c>
      <c r="C15" s="572">
        <v>684417</v>
      </c>
      <c r="D15" s="572">
        <v>2235770</v>
      </c>
      <c r="E15" s="572">
        <v>1879791</v>
      </c>
      <c r="F15" s="572">
        <v>11320</v>
      </c>
      <c r="G15" s="572">
        <v>1891111</v>
      </c>
      <c r="H15" s="572">
        <v>344659</v>
      </c>
      <c r="I15" s="572">
        <v>-344659</v>
      </c>
      <c r="J15" s="572">
        <v>-190000</v>
      </c>
      <c r="K15" s="572">
        <v>-222071</v>
      </c>
      <c r="L15" s="572">
        <v>44232</v>
      </c>
      <c r="M15" s="572">
        <v>266303</v>
      </c>
      <c r="N15" s="572">
        <v>0</v>
      </c>
      <c r="O15" s="572">
        <v>38850</v>
      </c>
      <c r="P15" s="573">
        <v>28562</v>
      </c>
    </row>
    <row r="16" spans="1:16" ht="12">
      <c r="A16" s="574" t="s">
        <v>677</v>
      </c>
      <c r="B16" s="572">
        <v>1548082</v>
      </c>
      <c r="C16" s="572">
        <v>399713</v>
      </c>
      <c r="D16" s="572">
        <v>1947795</v>
      </c>
      <c r="E16" s="572">
        <v>1766642</v>
      </c>
      <c r="F16" s="572">
        <v>105237</v>
      </c>
      <c r="G16" s="572">
        <v>1871879</v>
      </c>
      <c r="H16" s="572">
        <v>75916</v>
      </c>
      <c r="I16" s="572">
        <v>-75916</v>
      </c>
      <c r="J16" s="572">
        <v>0</v>
      </c>
      <c r="K16" s="572">
        <v>-75916</v>
      </c>
      <c r="L16" s="572">
        <v>51094</v>
      </c>
      <c r="M16" s="572">
        <v>127010</v>
      </c>
      <c r="N16" s="572">
        <v>0</v>
      </c>
      <c r="O16" s="572">
        <v>0</v>
      </c>
      <c r="P16" s="573">
        <v>0</v>
      </c>
    </row>
    <row r="17" spans="1:16" ht="12">
      <c r="A17" s="574" t="s">
        <v>678</v>
      </c>
      <c r="B17" s="572">
        <v>2323885</v>
      </c>
      <c r="C17" s="572">
        <v>809351</v>
      </c>
      <c r="D17" s="572">
        <v>3133236</v>
      </c>
      <c r="E17" s="572">
        <v>3106748</v>
      </c>
      <c r="F17" s="572">
        <v>75180</v>
      </c>
      <c r="G17" s="572">
        <v>3181928</v>
      </c>
      <c r="H17" s="572">
        <v>-48692</v>
      </c>
      <c r="I17" s="572">
        <v>48692</v>
      </c>
      <c r="J17" s="572">
        <v>0</v>
      </c>
      <c r="K17" s="572">
        <v>48692</v>
      </c>
      <c r="L17" s="572">
        <v>415621</v>
      </c>
      <c r="M17" s="572">
        <v>366929</v>
      </c>
      <c r="N17" s="572">
        <v>0</v>
      </c>
      <c r="O17" s="572">
        <v>0</v>
      </c>
      <c r="P17" s="573">
        <v>0</v>
      </c>
    </row>
    <row r="18" spans="1:16" ht="12">
      <c r="A18" s="574" t="s">
        <v>679</v>
      </c>
      <c r="B18" s="572">
        <v>843411</v>
      </c>
      <c r="C18" s="572">
        <v>407945</v>
      </c>
      <c r="D18" s="572">
        <v>1251356</v>
      </c>
      <c r="E18" s="572">
        <v>1306263</v>
      </c>
      <c r="F18" s="572">
        <v>0</v>
      </c>
      <c r="G18" s="572">
        <v>1306263</v>
      </c>
      <c r="H18" s="572">
        <v>-54907</v>
      </c>
      <c r="I18" s="572">
        <v>54907</v>
      </c>
      <c r="J18" s="572">
        <v>0</v>
      </c>
      <c r="K18" s="572">
        <v>54907</v>
      </c>
      <c r="L18" s="572">
        <v>90589</v>
      </c>
      <c r="M18" s="572">
        <v>35682</v>
      </c>
      <c r="N18" s="572">
        <v>0</v>
      </c>
      <c r="O18" s="572">
        <v>0</v>
      </c>
      <c r="P18" s="573">
        <v>0</v>
      </c>
    </row>
    <row r="19" spans="1:16" ht="12">
      <c r="A19" s="574" t="s">
        <v>680</v>
      </c>
      <c r="B19" s="572">
        <v>2764061</v>
      </c>
      <c r="C19" s="572">
        <v>290822</v>
      </c>
      <c r="D19" s="572">
        <v>3054883</v>
      </c>
      <c r="E19" s="572">
        <v>1833414</v>
      </c>
      <c r="F19" s="572">
        <v>649565</v>
      </c>
      <c r="G19" s="572">
        <v>2482979</v>
      </c>
      <c r="H19" s="572">
        <v>571904</v>
      </c>
      <c r="I19" s="572">
        <v>-571904</v>
      </c>
      <c r="J19" s="572">
        <v>0</v>
      </c>
      <c r="K19" s="572">
        <v>-571904</v>
      </c>
      <c r="L19" s="572">
        <v>972974</v>
      </c>
      <c r="M19" s="572">
        <v>1544878</v>
      </c>
      <c r="N19" s="572">
        <v>0</v>
      </c>
      <c r="O19" s="572">
        <v>0</v>
      </c>
      <c r="P19" s="573">
        <v>0</v>
      </c>
    </row>
    <row r="20" spans="1:16" ht="12.75">
      <c r="A20" s="569" t="s">
        <v>681</v>
      </c>
      <c r="B20" s="572">
        <f aca="true" t="shared" si="0" ref="B20:P20">SUM(B13:B19)</f>
        <v>39567318</v>
      </c>
      <c r="C20" s="572">
        <f t="shared" si="0"/>
        <v>9012404</v>
      </c>
      <c r="D20" s="572">
        <f t="shared" si="0"/>
        <v>48579722</v>
      </c>
      <c r="E20" s="572">
        <f t="shared" si="0"/>
        <v>41316516</v>
      </c>
      <c r="F20" s="572">
        <f t="shared" si="0"/>
        <v>5297557</v>
      </c>
      <c r="G20" s="572">
        <f t="shared" si="0"/>
        <v>46614073</v>
      </c>
      <c r="H20" s="572">
        <f t="shared" si="0"/>
        <v>1965649</v>
      </c>
      <c r="I20" s="572">
        <f t="shared" si="0"/>
        <v>-1965649</v>
      </c>
      <c r="J20" s="572">
        <f t="shared" si="0"/>
        <v>-4790000</v>
      </c>
      <c r="K20" s="572">
        <f t="shared" si="0"/>
        <v>-306782</v>
      </c>
      <c r="L20" s="572">
        <f t="shared" si="0"/>
        <v>7393488</v>
      </c>
      <c r="M20" s="572">
        <f t="shared" si="0"/>
        <v>7700270</v>
      </c>
      <c r="N20" s="572">
        <f t="shared" si="0"/>
        <v>-7300000</v>
      </c>
      <c r="O20" s="572">
        <f t="shared" si="0"/>
        <v>10379102</v>
      </c>
      <c r="P20" s="573">
        <f t="shared" si="0"/>
        <v>52031</v>
      </c>
    </row>
    <row r="21" spans="1:16" s="575" customFormat="1" ht="12.75">
      <c r="A21" s="569" t="s">
        <v>682</v>
      </c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3"/>
    </row>
    <row r="22" spans="1:16" ht="12">
      <c r="A22" s="574" t="s">
        <v>683</v>
      </c>
      <c r="B22" s="572">
        <v>917553</v>
      </c>
      <c r="C22" s="572">
        <v>765573</v>
      </c>
      <c r="D22" s="572">
        <v>1683126</v>
      </c>
      <c r="E22" s="572">
        <v>1677695</v>
      </c>
      <c r="F22" s="572">
        <v>104933</v>
      </c>
      <c r="G22" s="572">
        <v>1782628</v>
      </c>
      <c r="H22" s="572">
        <v>-99502</v>
      </c>
      <c r="I22" s="572">
        <v>99502</v>
      </c>
      <c r="J22" s="572">
        <v>-5455</v>
      </c>
      <c r="K22" s="572">
        <v>65694</v>
      </c>
      <c r="L22" s="572">
        <v>517917</v>
      </c>
      <c r="M22" s="572">
        <v>452223</v>
      </c>
      <c r="N22" s="572">
        <v>-5641</v>
      </c>
      <c r="O22" s="572">
        <v>-3475</v>
      </c>
      <c r="P22" s="573">
        <v>48379</v>
      </c>
    </row>
    <row r="23" spans="1:16" ht="12">
      <c r="A23" s="574" t="s">
        <v>684</v>
      </c>
      <c r="B23" s="572">
        <v>475990</v>
      </c>
      <c r="C23" s="572">
        <v>609543</v>
      </c>
      <c r="D23" s="572">
        <v>1085533</v>
      </c>
      <c r="E23" s="572">
        <v>999108</v>
      </c>
      <c r="F23" s="572">
        <v>28282</v>
      </c>
      <c r="G23" s="572">
        <v>1027390</v>
      </c>
      <c r="H23" s="572">
        <v>58143</v>
      </c>
      <c r="I23" s="572">
        <v>-58143</v>
      </c>
      <c r="J23" s="572">
        <v>47529</v>
      </c>
      <c r="K23" s="572">
        <v>-104599</v>
      </c>
      <c r="L23" s="572">
        <v>80951</v>
      </c>
      <c r="M23" s="572">
        <v>185550</v>
      </c>
      <c r="N23" s="572">
        <v>0</v>
      </c>
      <c r="O23" s="572">
        <v>-1073</v>
      </c>
      <c r="P23" s="573">
        <v>0</v>
      </c>
    </row>
    <row r="24" spans="1:16" ht="12">
      <c r="A24" s="574" t="s">
        <v>685</v>
      </c>
      <c r="B24" s="572">
        <v>434713</v>
      </c>
      <c r="C24" s="572">
        <v>756954</v>
      </c>
      <c r="D24" s="572">
        <v>1191667</v>
      </c>
      <c r="E24" s="572">
        <v>1109613</v>
      </c>
      <c r="F24" s="572">
        <v>23636</v>
      </c>
      <c r="G24" s="572">
        <v>1133249</v>
      </c>
      <c r="H24" s="572">
        <v>58418</v>
      </c>
      <c r="I24" s="572">
        <v>-58418</v>
      </c>
      <c r="J24" s="572">
        <v>-1898</v>
      </c>
      <c r="K24" s="572">
        <v>-55174</v>
      </c>
      <c r="L24" s="572">
        <v>98384</v>
      </c>
      <c r="M24" s="572">
        <v>153558</v>
      </c>
      <c r="N24" s="572">
        <v>0</v>
      </c>
      <c r="O24" s="572">
        <v>-1346</v>
      </c>
      <c r="P24" s="573">
        <v>0</v>
      </c>
    </row>
    <row r="25" spans="1:16" ht="12">
      <c r="A25" s="574" t="s">
        <v>686</v>
      </c>
      <c r="B25" s="572">
        <v>950555</v>
      </c>
      <c r="C25" s="572">
        <v>1034917</v>
      </c>
      <c r="D25" s="572">
        <v>1985472</v>
      </c>
      <c r="E25" s="572">
        <v>1889394</v>
      </c>
      <c r="F25" s="572">
        <v>99647</v>
      </c>
      <c r="G25" s="572">
        <v>1989041</v>
      </c>
      <c r="H25" s="572">
        <v>-3569</v>
      </c>
      <c r="I25" s="572">
        <v>3569</v>
      </c>
      <c r="J25" s="572">
        <v>30280</v>
      </c>
      <c r="K25" s="572">
        <v>-58510</v>
      </c>
      <c r="L25" s="572">
        <v>242344</v>
      </c>
      <c r="M25" s="572">
        <v>300854</v>
      </c>
      <c r="N25" s="572">
        <v>40040</v>
      </c>
      <c r="O25" s="572">
        <v>-622</v>
      </c>
      <c r="P25" s="573">
        <v>-7619</v>
      </c>
    </row>
    <row r="26" spans="1:16" ht="12">
      <c r="A26" s="574" t="s">
        <v>687</v>
      </c>
      <c r="B26" s="572">
        <v>1539047</v>
      </c>
      <c r="C26" s="572">
        <v>1285144</v>
      </c>
      <c r="D26" s="572">
        <v>2824191</v>
      </c>
      <c r="E26" s="572">
        <v>2517452</v>
      </c>
      <c r="F26" s="572">
        <v>97525</v>
      </c>
      <c r="G26" s="572">
        <v>2614977</v>
      </c>
      <c r="H26" s="572">
        <v>209214</v>
      </c>
      <c r="I26" s="572">
        <v>-209214</v>
      </c>
      <c r="J26" s="572">
        <v>-13950</v>
      </c>
      <c r="K26" s="572">
        <v>-183534</v>
      </c>
      <c r="L26" s="572">
        <v>184737</v>
      </c>
      <c r="M26" s="572">
        <v>368271</v>
      </c>
      <c r="N26" s="572">
        <v>2674</v>
      </c>
      <c r="O26" s="572">
        <v>0</v>
      </c>
      <c r="P26" s="573">
        <v>-14404</v>
      </c>
    </row>
    <row r="27" spans="1:16" ht="12">
      <c r="A27" s="574" t="s">
        <v>688</v>
      </c>
      <c r="B27" s="572">
        <v>727543</v>
      </c>
      <c r="C27" s="572">
        <v>1030254</v>
      </c>
      <c r="D27" s="572">
        <v>1757797</v>
      </c>
      <c r="E27" s="572">
        <v>1445067</v>
      </c>
      <c r="F27" s="572">
        <v>87087</v>
      </c>
      <c r="G27" s="572">
        <v>1532154</v>
      </c>
      <c r="H27" s="572">
        <v>225643</v>
      </c>
      <c r="I27" s="572">
        <v>-225643</v>
      </c>
      <c r="J27" s="572">
        <v>58521</v>
      </c>
      <c r="K27" s="572">
        <v>-283663</v>
      </c>
      <c r="L27" s="572">
        <v>220220</v>
      </c>
      <c r="M27" s="572">
        <v>503883</v>
      </c>
      <c r="N27" s="572">
        <v>-501</v>
      </c>
      <c r="O27" s="572">
        <v>0</v>
      </c>
      <c r="P27" s="573">
        <v>0</v>
      </c>
    </row>
    <row r="28" spans="1:16" ht="12">
      <c r="A28" s="574" t="s">
        <v>689</v>
      </c>
      <c r="B28" s="572">
        <v>819396</v>
      </c>
      <c r="C28" s="572">
        <v>741260</v>
      </c>
      <c r="D28" s="572">
        <v>1560656</v>
      </c>
      <c r="E28" s="572">
        <v>1397808</v>
      </c>
      <c r="F28" s="572">
        <v>94868</v>
      </c>
      <c r="G28" s="572">
        <v>1492676</v>
      </c>
      <c r="H28" s="572">
        <v>67980</v>
      </c>
      <c r="I28" s="572">
        <v>-67980</v>
      </c>
      <c r="J28" s="572">
        <v>-22717</v>
      </c>
      <c r="K28" s="572">
        <v>-45263</v>
      </c>
      <c r="L28" s="572">
        <v>161601</v>
      </c>
      <c r="M28" s="572">
        <v>206864</v>
      </c>
      <c r="N28" s="572">
        <v>0</v>
      </c>
      <c r="O28" s="572">
        <v>0</v>
      </c>
      <c r="P28" s="573">
        <v>0</v>
      </c>
    </row>
    <row r="29" spans="1:16" ht="12">
      <c r="A29" s="574" t="s">
        <v>690</v>
      </c>
      <c r="B29" s="572">
        <v>562811</v>
      </c>
      <c r="C29" s="572">
        <v>552659</v>
      </c>
      <c r="D29" s="572">
        <v>1115470</v>
      </c>
      <c r="E29" s="572">
        <v>1018800</v>
      </c>
      <c r="F29" s="572">
        <v>15342</v>
      </c>
      <c r="G29" s="572">
        <v>1034142</v>
      </c>
      <c r="H29" s="572">
        <v>81328</v>
      </c>
      <c r="I29" s="572">
        <v>-81328</v>
      </c>
      <c r="J29" s="572">
        <v>-1092</v>
      </c>
      <c r="K29" s="572">
        <v>-45773</v>
      </c>
      <c r="L29" s="572">
        <v>286223</v>
      </c>
      <c r="M29" s="572">
        <v>331996</v>
      </c>
      <c r="N29" s="572">
        <v>0</v>
      </c>
      <c r="O29" s="572">
        <v>0</v>
      </c>
      <c r="P29" s="573">
        <v>-34463</v>
      </c>
    </row>
    <row r="30" spans="1:16" ht="12">
      <c r="A30" s="574" t="s">
        <v>691</v>
      </c>
      <c r="B30" s="572">
        <v>685351</v>
      </c>
      <c r="C30" s="572">
        <v>682739</v>
      </c>
      <c r="D30" s="572">
        <v>1368090</v>
      </c>
      <c r="E30" s="572">
        <v>1221695</v>
      </c>
      <c r="F30" s="572">
        <v>62437</v>
      </c>
      <c r="G30" s="572">
        <v>1284132</v>
      </c>
      <c r="H30" s="572">
        <v>83958</v>
      </c>
      <c r="I30" s="572">
        <v>-83958</v>
      </c>
      <c r="J30" s="572">
        <v>-13550</v>
      </c>
      <c r="K30" s="572">
        <v>-75867</v>
      </c>
      <c r="L30" s="572">
        <v>80112</v>
      </c>
      <c r="M30" s="572">
        <v>155979</v>
      </c>
      <c r="N30" s="572">
        <v>5059</v>
      </c>
      <c r="O30" s="572">
        <v>400</v>
      </c>
      <c r="P30" s="573">
        <v>0</v>
      </c>
    </row>
    <row r="31" spans="1:16" ht="12">
      <c r="A31" s="574" t="s">
        <v>692</v>
      </c>
      <c r="B31" s="572">
        <v>916850</v>
      </c>
      <c r="C31" s="572">
        <v>1096500</v>
      </c>
      <c r="D31" s="572">
        <v>2013350</v>
      </c>
      <c r="E31" s="572">
        <v>1969881</v>
      </c>
      <c r="F31" s="572">
        <v>30878</v>
      </c>
      <c r="G31" s="572">
        <v>2000759</v>
      </c>
      <c r="H31" s="572">
        <v>12591</v>
      </c>
      <c r="I31" s="572">
        <v>-12591</v>
      </c>
      <c r="J31" s="572">
        <v>-13984</v>
      </c>
      <c r="K31" s="572">
        <v>-9306</v>
      </c>
      <c r="L31" s="572">
        <v>518900</v>
      </c>
      <c r="M31" s="572">
        <v>528206</v>
      </c>
      <c r="N31" s="572">
        <v>0</v>
      </c>
      <c r="O31" s="572">
        <v>10699</v>
      </c>
      <c r="P31" s="573">
        <v>0</v>
      </c>
    </row>
    <row r="32" spans="1:16" ht="12">
      <c r="A32" s="574" t="s">
        <v>693</v>
      </c>
      <c r="B32" s="572">
        <v>488266</v>
      </c>
      <c r="C32" s="572">
        <v>800274</v>
      </c>
      <c r="D32" s="572">
        <v>1288540</v>
      </c>
      <c r="E32" s="572">
        <v>1154196</v>
      </c>
      <c r="F32" s="572">
        <v>34944</v>
      </c>
      <c r="G32" s="572">
        <v>1189140</v>
      </c>
      <c r="H32" s="572">
        <v>99400</v>
      </c>
      <c r="I32" s="572">
        <v>-99400</v>
      </c>
      <c r="J32" s="572">
        <v>19151</v>
      </c>
      <c r="K32" s="572">
        <v>-117551</v>
      </c>
      <c r="L32" s="572">
        <v>78840</v>
      </c>
      <c r="M32" s="572">
        <v>196391</v>
      </c>
      <c r="N32" s="572">
        <v>-1000</v>
      </c>
      <c r="O32" s="572">
        <v>0</v>
      </c>
      <c r="P32" s="573">
        <v>0</v>
      </c>
    </row>
    <row r="33" spans="1:16" ht="12">
      <c r="A33" s="574" t="s">
        <v>694</v>
      </c>
      <c r="B33" s="572">
        <v>899652</v>
      </c>
      <c r="C33" s="572">
        <v>841010</v>
      </c>
      <c r="D33" s="572">
        <v>1740662</v>
      </c>
      <c r="E33" s="572">
        <v>1528999</v>
      </c>
      <c r="F33" s="572">
        <v>44554</v>
      </c>
      <c r="G33" s="572">
        <v>1573553</v>
      </c>
      <c r="H33" s="572">
        <v>167109</v>
      </c>
      <c r="I33" s="572">
        <v>-167109</v>
      </c>
      <c r="J33" s="572">
        <v>2032</v>
      </c>
      <c r="K33" s="572">
        <v>-145936</v>
      </c>
      <c r="L33" s="572">
        <v>293631</v>
      </c>
      <c r="M33" s="572">
        <v>439567</v>
      </c>
      <c r="N33" s="572">
        <v>0</v>
      </c>
      <c r="O33" s="572">
        <v>0</v>
      </c>
      <c r="P33" s="573">
        <v>-23205</v>
      </c>
    </row>
    <row r="34" spans="1:16" ht="12">
      <c r="A34" s="574" t="s">
        <v>695</v>
      </c>
      <c r="B34" s="572">
        <v>851123</v>
      </c>
      <c r="C34" s="572">
        <v>963669</v>
      </c>
      <c r="D34" s="572">
        <v>1814792</v>
      </c>
      <c r="E34" s="572">
        <v>1752193</v>
      </c>
      <c r="F34" s="572">
        <v>30299</v>
      </c>
      <c r="G34" s="572">
        <v>1782492</v>
      </c>
      <c r="H34" s="572">
        <v>32300</v>
      </c>
      <c r="I34" s="572">
        <v>-32300</v>
      </c>
      <c r="J34" s="572">
        <v>209</v>
      </c>
      <c r="K34" s="572">
        <v>-27893</v>
      </c>
      <c r="L34" s="572">
        <v>163151</v>
      </c>
      <c r="M34" s="572">
        <v>191044</v>
      </c>
      <c r="N34" s="572">
        <v>0</v>
      </c>
      <c r="O34" s="572">
        <v>-4616</v>
      </c>
      <c r="P34" s="573">
        <v>0</v>
      </c>
    </row>
    <row r="35" spans="1:16" ht="12">
      <c r="A35" s="574" t="s">
        <v>696</v>
      </c>
      <c r="B35" s="572">
        <v>827404</v>
      </c>
      <c r="C35" s="572">
        <v>723299</v>
      </c>
      <c r="D35" s="572">
        <v>1550703</v>
      </c>
      <c r="E35" s="572">
        <v>1625919</v>
      </c>
      <c r="F35" s="572">
        <v>108404</v>
      </c>
      <c r="G35" s="572">
        <v>1734323</v>
      </c>
      <c r="H35" s="572">
        <v>-183620</v>
      </c>
      <c r="I35" s="572">
        <v>183620</v>
      </c>
      <c r="J35" s="572">
        <v>487886</v>
      </c>
      <c r="K35" s="572">
        <v>-301746</v>
      </c>
      <c r="L35" s="572">
        <v>278002</v>
      </c>
      <c r="M35" s="572">
        <v>579748</v>
      </c>
      <c r="N35" s="572">
        <v>-2520</v>
      </c>
      <c r="O35" s="572">
        <v>0</v>
      </c>
      <c r="P35" s="573">
        <v>0</v>
      </c>
    </row>
    <row r="36" spans="1:16" ht="12">
      <c r="A36" s="574" t="s">
        <v>697</v>
      </c>
      <c r="B36" s="572">
        <v>489151</v>
      </c>
      <c r="C36" s="572">
        <v>714764</v>
      </c>
      <c r="D36" s="572">
        <v>1203915</v>
      </c>
      <c r="E36" s="572">
        <v>1081582</v>
      </c>
      <c r="F36" s="572">
        <v>45401</v>
      </c>
      <c r="G36" s="572">
        <v>1126983</v>
      </c>
      <c r="H36" s="572">
        <v>76932</v>
      </c>
      <c r="I36" s="572">
        <v>-76932</v>
      </c>
      <c r="J36" s="572">
        <v>-39836</v>
      </c>
      <c r="K36" s="572">
        <v>-41343</v>
      </c>
      <c r="L36" s="572">
        <v>266422</v>
      </c>
      <c r="M36" s="572">
        <v>307765</v>
      </c>
      <c r="N36" s="572">
        <v>5000</v>
      </c>
      <c r="O36" s="572">
        <v>0</v>
      </c>
      <c r="P36" s="573">
        <v>-753</v>
      </c>
    </row>
    <row r="37" spans="1:16" ht="12">
      <c r="A37" s="574" t="s">
        <v>698</v>
      </c>
      <c r="B37" s="572">
        <v>843481</v>
      </c>
      <c r="C37" s="572">
        <v>982713</v>
      </c>
      <c r="D37" s="572">
        <v>1826194</v>
      </c>
      <c r="E37" s="572">
        <v>1679233</v>
      </c>
      <c r="F37" s="572">
        <v>86995</v>
      </c>
      <c r="G37" s="572">
        <v>1766228</v>
      </c>
      <c r="H37" s="572">
        <v>59966</v>
      </c>
      <c r="I37" s="572">
        <v>-59966</v>
      </c>
      <c r="J37" s="572">
        <v>-3459</v>
      </c>
      <c r="K37" s="572">
        <v>-56608</v>
      </c>
      <c r="L37" s="572">
        <v>213638</v>
      </c>
      <c r="M37" s="572">
        <v>270246</v>
      </c>
      <c r="N37" s="572">
        <v>3287</v>
      </c>
      <c r="O37" s="572">
        <v>-3186</v>
      </c>
      <c r="P37" s="573">
        <v>0</v>
      </c>
    </row>
    <row r="38" spans="1:16" ht="12">
      <c r="A38" s="574" t="s">
        <v>699</v>
      </c>
      <c r="B38" s="572">
        <v>1515718</v>
      </c>
      <c r="C38" s="572">
        <v>852376</v>
      </c>
      <c r="D38" s="572">
        <v>2368094</v>
      </c>
      <c r="E38" s="572">
        <v>2169626</v>
      </c>
      <c r="F38" s="572">
        <v>108376</v>
      </c>
      <c r="G38" s="572">
        <v>2278002</v>
      </c>
      <c r="H38" s="572">
        <v>90092</v>
      </c>
      <c r="I38" s="572">
        <v>-90092</v>
      </c>
      <c r="J38" s="572">
        <v>-18019</v>
      </c>
      <c r="K38" s="572">
        <v>-51598</v>
      </c>
      <c r="L38" s="572">
        <v>346403</v>
      </c>
      <c r="M38" s="572">
        <v>398001</v>
      </c>
      <c r="N38" s="572">
        <v>-2152</v>
      </c>
      <c r="O38" s="572">
        <v>-7000</v>
      </c>
      <c r="P38" s="573">
        <v>-11323</v>
      </c>
    </row>
    <row r="39" spans="1:16" ht="12">
      <c r="A39" s="574" t="s">
        <v>700</v>
      </c>
      <c r="B39" s="572">
        <v>512579</v>
      </c>
      <c r="C39" s="572">
        <v>931638</v>
      </c>
      <c r="D39" s="572">
        <v>1444217</v>
      </c>
      <c r="E39" s="572">
        <v>1319502</v>
      </c>
      <c r="F39" s="572">
        <v>20722</v>
      </c>
      <c r="G39" s="572">
        <v>1340224</v>
      </c>
      <c r="H39" s="572">
        <v>103993</v>
      </c>
      <c r="I39" s="572">
        <v>-103993</v>
      </c>
      <c r="J39" s="572">
        <v>31514</v>
      </c>
      <c r="K39" s="572">
        <v>-157901</v>
      </c>
      <c r="L39" s="572">
        <v>131554</v>
      </c>
      <c r="M39" s="572">
        <v>289455</v>
      </c>
      <c r="N39" s="572">
        <v>-3414</v>
      </c>
      <c r="O39" s="572">
        <v>25808</v>
      </c>
      <c r="P39" s="573">
        <v>0</v>
      </c>
    </row>
    <row r="40" spans="1:16" ht="12">
      <c r="A40" s="574" t="s">
        <v>701</v>
      </c>
      <c r="B40" s="572">
        <v>518178</v>
      </c>
      <c r="C40" s="572">
        <v>1068792</v>
      </c>
      <c r="D40" s="572">
        <v>1586970</v>
      </c>
      <c r="E40" s="572">
        <v>1487749</v>
      </c>
      <c r="F40" s="572">
        <v>48031</v>
      </c>
      <c r="G40" s="572">
        <v>1535780</v>
      </c>
      <c r="H40" s="572">
        <v>51190</v>
      </c>
      <c r="I40" s="572">
        <v>-51190</v>
      </c>
      <c r="J40" s="572">
        <v>14378</v>
      </c>
      <c r="K40" s="572">
        <v>-64065</v>
      </c>
      <c r="L40" s="572">
        <v>154522</v>
      </c>
      <c r="M40" s="572">
        <v>218587</v>
      </c>
      <c r="N40" s="572">
        <v>-1503</v>
      </c>
      <c r="O40" s="572">
        <v>0</v>
      </c>
      <c r="P40" s="573">
        <v>0</v>
      </c>
    </row>
    <row r="41" spans="1:16" ht="12">
      <c r="A41" s="574" t="s">
        <v>702</v>
      </c>
      <c r="B41" s="572">
        <v>4377100</v>
      </c>
      <c r="C41" s="572">
        <v>1664000</v>
      </c>
      <c r="D41" s="572">
        <v>6040414</v>
      </c>
      <c r="E41" s="572">
        <v>5556370</v>
      </c>
      <c r="F41" s="572">
        <v>686381</v>
      </c>
      <c r="G41" s="572">
        <v>6242751</v>
      </c>
      <c r="H41" s="572">
        <v>-202337</v>
      </c>
      <c r="I41" s="572">
        <v>202337</v>
      </c>
      <c r="J41" s="572">
        <v>234938</v>
      </c>
      <c r="K41" s="572">
        <v>-377284</v>
      </c>
      <c r="L41" s="572">
        <v>1222971</v>
      </c>
      <c r="M41" s="572">
        <v>1600255</v>
      </c>
      <c r="N41" s="572">
        <v>82800</v>
      </c>
      <c r="O41" s="572">
        <v>0</v>
      </c>
      <c r="P41" s="573">
        <v>261000</v>
      </c>
    </row>
    <row r="42" spans="1:16" ht="12">
      <c r="A42" s="574" t="s">
        <v>703</v>
      </c>
      <c r="B42" s="572">
        <v>922657</v>
      </c>
      <c r="C42" s="572">
        <v>847803</v>
      </c>
      <c r="D42" s="572">
        <v>1770460</v>
      </c>
      <c r="E42" s="572">
        <v>1660787</v>
      </c>
      <c r="F42" s="572">
        <v>60545</v>
      </c>
      <c r="G42" s="572">
        <v>1721332</v>
      </c>
      <c r="H42" s="572">
        <v>49128</v>
      </c>
      <c r="I42" s="572">
        <v>-49128</v>
      </c>
      <c r="J42" s="572">
        <v>119322</v>
      </c>
      <c r="K42" s="572">
        <v>-116108</v>
      </c>
      <c r="L42" s="572">
        <v>177036</v>
      </c>
      <c r="M42" s="572">
        <v>293144</v>
      </c>
      <c r="N42" s="572">
        <v>0</v>
      </c>
      <c r="O42" s="572">
        <v>0</v>
      </c>
      <c r="P42" s="573">
        <v>-52342</v>
      </c>
    </row>
    <row r="43" spans="1:16" ht="12">
      <c r="A43" s="574" t="s">
        <v>704</v>
      </c>
      <c r="B43" s="572">
        <v>1008589</v>
      </c>
      <c r="C43" s="572">
        <v>1063502</v>
      </c>
      <c r="D43" s="572">
        <v>2072091</v>
      </c>
      <c r="E43" s="572">
        <v>1973184</v>
      </c>
      <c r="F43" s="572">
        <v>46460</v>
      </c>
      <c r="G43" s="572">
        <v>2019644</v>
      </c>
      <c r="H43" s="572">
        <v>52447</v>
      </c>
      <c r="I43" s="572">
        <v>-52447</v>
      </c>
      <c r="J43" s="572">
        <v>-18035</v>
      </c>
      <c r="K43" s="572">
        <v>-6588</v>
      </c>
      <c r="L43" s="572">
        <v>369908</v>
      </c>
      <c r="M43" s="572">
        <v>376496</v>
      </c>
      <c r="N43" s="572">
        <v>-6051</v>
      </c>
      <c r="O43" s="572">
        <v>-5000</v>
      </c>
      <c r="P43" s="573">
        <v>-16773</v>
      </c>
    </row>
    <row r="44" spans="1:16" ht="12">
      <c r="A44" s="574" t="s">
        <v>705</v>
      </c>
      <c r="B44" s="572">
        <v>1153443</v>
      </c>
      <c r="C44" s="572">
        <v>1421396</v>
      </c>
      <c r="D44" s="572">
        <v>2574839</v>
      </c>
      <c r="E44" s="572">
        <v>2236354</v>
      </c>
      <c r="F44" s="572">
        <v>222288</v>
      </c>
      <c r="G44" s="572">
        <v>2458642</v>
      </c>
      <c r="H44" s="572">
        <v>116197</v>
      </c>
      <c r="I44" s="572">
        <v>-116197</v>
      </c>
      <c r="J44" s="572">
        <v>26994</v>
      </c>
      <c r="K44" s="572">
        <v>-138664</v>
      </c>
      <c r="L44" s="572">
        <v>380587</v>
      </c>
      <c r="M44" s="572">
        <v>519251</v>
      </c>
      <c r="N44" s="572">
        <v>-1560</v>
      </c>
      <c r="O44" s="572">
        <v>0</v>
      </c>
      <c r="P44" s="573">
        <v>-2967</v>
      </c>
    </row>
    <row r="45" spans="1:16" ht="12">
      <c r="A45" s="574" t="s">
        <v>706</v>
      </c>
      <c r="B45" s="572">
        <v>762412</v>
      </c>
      <c r="C45" s="572">
        <v>580565</v>
      </c>
      <c r="D45" s="572">
        <v>1342977</v>
      </c>
      <c r="E45" s="572">
        <v>1142167</v>
      </c>
      <c r="F45" s="572">
        <v>48173</v>
      </c>
      <c r="G45" s="572">
        <v>1190340</v>
      </c>
      <c r="H45" s="572">
        <v>152637</v>
      </c>
      <c r="I45" s="572">
        <v>-152637</v>
      </c>
      <c r="J45" s="572">
        <v>-8997</v>
      </c>
      <c r="K45" s="572">
        <v>-114516</v>
      </c>
      <c r="L45" s="572">
        <v>129885</v>
      </c>
      <c r="M45" s="572">
        <v>245000</v>
      </c>
      <c r="N45" s="572">
        <v>-646</v>
      </c>
      <c r="O45" s="572">
        <v>-644</v>
      </c>
      <c r="P45" s="573">
        <v>-27834</v>
      </c>
    </row>
    <row r="46" spans="1:16" ht="12">
      <c r="A46" s="574" t="s">
        <v>707</v>
      </c>
      <c r="B46" s="572">
        <v>2073700</v>
      </c>
      <c r="C46" s="572">
        <v>1185502</v>
      </c>
      <c r="D46" s="572">
        <v>3259202</v>
      </c>
      <c r="E46" s="572">
        <v>3157671</v>
      </c>
      <c r="F46" s="572">
        <v>136946</v>
      </c>
      <c r="G46" s="572">
        <v>3294617</v>
      </c>
      <c r="H46" s="572">
        <v>-35415</v>
      </c>
      <c r="I46" s="572">
        <v>35415</v>
      </c>
      <c r="J46" s="572">
        <v>186750</v>
      </c>
      <c r="K46" s="572">
        <v>-114283</v>
      </c>
      <c r="L46" s="572">
        <v>198330</v>
      </c>
      <c r="M46" s="572">
        <v>312613</v>
      </c>
      <c r="N46" s="572">
        <v>-4033</v>
      </c>
      <c r="O46" s="572">
        <v>-11057</v>
      </c>
      <c r="P46" s="573">
        <v>-21962</v>
      </c>
    </row>
    <row r="47" spans="1:16" ht="12">
      <c r="A47" s="574" t="s">
        <v>708</v>
      </c>
      <c r="B47" s="572">
        <v>364654</v>
      </c>
      <c r="C47" s="572">
        <v>250779</v>
      </c>
      <c r="D47" s="572">
        <v>615433</v>
      </c>
      <c r="E47" s="572">
        <v>553245</v>
      </c>
      <c r="F47" s="572">
        <v>21000</v>
      </c>
      <c r="G47" s="572">
        <v>575012</v>
      </c>
      <c r="H47" s="572">
        <v>40421</v>
      </c>
      <c r="I47" s="572">
        <v>-40421</v>
      </c>
      <c r="J47" s="572">
        <v>12000</v>
      </c>
      <c r="K47" s="572">
        <v>-52421</v>
      </c>
      <c r="L47" s="572">
        <v>61596</v>
      </c>
      <c r="M47" s="572">
        <v>114017</v>
      </c>
      <c r="N47" s="572">
        <v>0</v>
      </c>
      <c r="O47" s="572">
        <v>0</v>
      </c>
      <c r="P47" s="573">
        <v>0</v>
      </c>
    </row>
    <row r="48" spans="1:16" ht="12.75">
      <c r="A48" s="569" t="s">
        <v>709</v>
      </c>
      <c r="B48" s="572">
        <f aca="true" t="shared" si="1" ref="B48:P48">SUM(B22:B47)</f>
        <v>25637916</v>
      </c>
      <c r="C48" s="572">
        <f t="shared" si="1"/>
        <v>23447625</v>
      </c>
      <c r="D48" s="572">
        <f t="shared" si="1"/>
        <v>49084855</v>
      </c>
      <c r="E48" s="572">
        <f t="shared" si="1"/>
        <v>45325290</v>
      </c>
      <c r="F48" s="572">
        <f t="shared" si="1"/>
        <v>2394154</v>
      </c>
      <c r="G48" s="572">
        <f t="shared" si="1"/>
        <v>47720211</v>
      </c>
      <c r="H48" s="572">
        <f t="shared" si="1"/>
        <v>1364644</v>
      </c>
      <c r="I48" s="572">
        <f t="shared" si="1"/>
        <v>-1364644</v>
      </c>
      <c r="J48" s="572">
        <f t="shared" si="1"/>
        <v>1110512</v>
      </c>
      <c r="K48" s="572">
        <f t="shared" si="1"/>
        <v>-2680500</v>
      </c>
      <c r="L48" s="572">
        <f t="shared" si="1"/>
        <v>6857865</v>
      </c>
      <c r="M48" s="572">
        <f t="shared" si="1"/>
        <v>9538964</v>
      </c>
      <c r="N48" s="572">
        <f t="shared" si="1"/>
        <v>109839</v>
      </c>
      <c r="O48" s="572">
        <f t="shared" si="1"/>
        <v>-1112</v>
      </c>
      <c r="P48" s="573">
        <f t="shared" si="1"/>
        <v>95734</v>
      </c>
    </row>
    <row r="49" spans="1:16" ht="12.75">
      <c r="A49" s="576" t="s">
        <v>710</v>
      </c>
      <c r="B49" s="577">
        <f aca="true" t="shared" si="2" ref="B49:P49">B48+B20</f>
        <v>65205234</v>
      </c>
      <c r="C49" s="577">
        <f t="shared" si="2"/>
        <v>32460029</v>
      </c>
      <c r="D49" s="577">
        <f t="shared" si="2"/>
        <v>97664577</v>
      </c>
      <c r="E49" s="577">
        <f t="shared" si="2"/>
        <v>86641806</v>
      </c>
      <c r="F49" s="577">
        <f t="shared" si="2"/>
        <v>7691711</v>
      </c>
      <c r="G49" s="577">
        <f t="shared" si="2"/>
        <v>94334284</v>
      </c>
      <c r="H49" s="577">
        <f t="shared" si="2"/>
        <v>3330293</v>
      </c>
      <c r="I49" s="577">
        <f t="shared" si="2"/>
        <v>-3330293</v>
      </c>
      <c r="J49" s="577">
        <f t="shared" si="2"/>
        <v>-3679488</v>
      </c>
      <c r="K49" s="577">
        <f t="shared" si="2"/>
        <v>-2987282</v>
      </c>
      <c r="L49" s="577">
        <f t="shared" si="2"/>
        <v>14251353</v>
      </c>
      <c r="M49" s="577">
        <f t="shared" si="2"/>
        <v>17239234</v>
      </c>
      <c r="N49" s="577">
        <f t="shared" si="2"/>
        <v>-7190161</v>
      </c>
      <c r="O49" s="577">
        <f t="shared" si="2"/>
        <v>10377990</v>
      </c>
      <c r="P49" s="578">
        <f t="shared" si="2"/>
        <v>147765</v>
      </c>
    </row>
    <row r="50" spans="1:7" s="580" customFormat="1" ht="12">
      <c r="A50" s="579" t="s">
        <v>711</v>
      </c>
      <c r="G50" s="580" t="s">
        <v>579</v>
      </c>
    </row>
    <row r="51" s="580" customFormat="1" ht="12">
      <c r="A51" s="579" t="s">
        <v>712</v>
      </c>
    </row>
    <row r="52" spans="1:11" s="580" customFormat="1" ht="12">
      <c r="A52" s="581"/>
      <c r="B52" s="526"/>
      <c r="C52" s="526"/>
      <c r="D52" s="526"/>
      <c r="E52" s="526"/>
      <c r="F52" s="526"/>
      <c r="G52" s="526"/>
      <c r="H52" s="526"/>
      <c r="I52" s="526"/>
      <c r="J52" s="526"/>
      <c r="K52" s="526"/>
    </row>
    <row r="53" s="580" customFormat="1" ht="12">
      <c r="A53" s="534"/>
    </row>
    <row r="54" spans="1:12" s="580" customFormat="1" ht="12">
      <c r="A54" s="582"/>
      <c r="B54" s="582"/>
      <c r="C54" s="474"/>
      <c r="D54" s="474"/>
      <c r="E54" s="474"/>
      <c r="F54" s="474"/>
      <c r="H54" s="583"/>
      <c r="I54" s="583"/>
      <c r="J54" s="583"/>
      <c r="K54" s="583"/>
      <c r="L54" s="583"/>
    </row>
    <row r="55" s="585" customFormat="1" ht="11.25">
      <c r="A55" s="584"/>
    </row>
    <row r="58" spans="1:11" s="474" customFormat="1" ht="11.25" customHeight="1">
      <c r="A58" s="586" t="s">
        <v>713</v>
      </c>
      <c r="H58" s="474" t="s">
        <v>714</v>
      </c>
      <c r="K58" s="474" t="s">
        <v>715</v>
      </c>
    </row>
    <row r="59" ht="11.25">
      <c r="A59" s="477"/>
    </row>
    <row r="67" s="438" customFormat="1" ht="11.25">
      <c r="A67" s="483" t="s">
        <v>716</v>
      </c>
    </row>
    <row r="68" ht="11.25">
      <c r="A68" s="587" t="s">
        <v>717</v>
      </c>
    </row>
  </sheetData>
  <printOptions/>
  <pageMargins left="0.25" right="0.25" top="0.6" bottom="0.86" header="0.22" footer="0"/>
  <pageSetup firstPageNumber="31" useFirstPageNumber="1" horizontalDpi="600" verticalDpi="600" orientation="landscape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1"/>
  <dimension ref="A1:P69"/>
  <sheetViews>
    <sheetView showGridLines="0" showZeros="0" workbookViewId="0" topLeftCell="E1">
      <selection activeCell="C12" sqref="C12"/>
    </sheetView>
  </sheetViews>
  <sheetFormatPr defaultColWidth="9.140625" defaultRowHeight="12.75"/>
  <cols>
    <col min="1" max="1" width="20.421875" style="540" customWidth="1"/>
    <col min="2" max="2" width="9.7109375" style="430" customWidth="1"/>
    <col min="3" max="3" width="9.57421875" style="430" customWidth="1"/>
    <col min="4" max="4" width="14.8515625" style="430" customWidth="1"/>
    <col min="5" max="9" width="10.57421875" style="430" customWidth="1"/>
    <col min="10" max="10" width="11.8515625" style="430" customWidth="1"/>
    <col min="11" max="12" width="11.00390625" style="430" customWidth="1"/>
    <col min="13" max="16" width="7.140625" style="430" customWidth="1"/>
    <col min="17" max="16384" width="8.00390625" style="430" customWidth="1"/>
  </cols>
  <sheetData>
    <row r="1" spans="1:12" s="438" customFormat="1" ht="12.75">
      <c r="A1" s="429" t="s">
        <v>718</v>
      </c>
      <c r="B1" s="429"/>
      <c r="C1" s="429"/>
      <c r="D1" s="429"/>
      <c r="E1" s="429"/>
      <c r="F1" s="429"/>
      <c r="G1" s="429"/>
      <c r="H1" s="429"/>
      <c r="I1" s="429"/>
      <c r="J1" s="429"/>
      <c r="K1" s="480"/>
      <c r="L1" s="537" t="s">
        <v>719</v>
      </c>
    </row>
    <row r="2" spans="1:12" s="438" customFormat="1" ht="12.7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80"/>
      <c r="L2" s="537"/>
    </row>
    <row r="3" spans="1:12" s="444" customFormat="1" ht="12.75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537"/>
    </row>
    <row r="4" spans="1:16" s="545" customFormat="1" ht="15.75">
      <c r="A4" s="543" t="s">
        <v>720</v>
      </c>
      <c r="B4" s="543"/>
      <c r="C4" s="543"/>
      <c r="D4" s="434"/>
      <c r="E4" s="543"/>
      <c r="F4" s="543"/>
      <c r="G4" s="543"/>
      <c r="H4" s="543"/>
      <c r="I4" s="543"/>
      <c r="J4" s="543"/>
      <c r="K4" s="543"/>
      <c r="L4" s="543"/>
      <c r="M4" s="588"/>
      <c r="N4" s="588"/>
      <c r="O4" s="588"/>
      <c r="P4" s="588"/>
    </row>
    <row r="5" spans="1:16" s="545" customFormat="1" ht="15.75">
      <c r="A5" s="543" t="s">
        <v>581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88"/>
      <c r="N5" s="588"/>
      <c r="O5" s="588"/>
      <c r="P5" s="588"/>
    </row>
    <row r="6" spans="1:16" ht="12.75">
      <c r="A6" s="589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</row>
    <row r="7" spans="1:16" s="438" customFormat="1" ht="11.25">
      <c r="A7" s="546"/>
      <c r="B7" s="480"/>
      <c r="C7" s="480"/>
      <c r="D7" s="480"/>
      <c r="E7" s="480"/>
      <c r="F7" s="480"/>
      <c r="G7" s="480"/>
      <c r="H7" s="480"/>
      <c r="I7" s="480"/>
      <c r="J7" s="480"/>
      <c r="K7" s="480" t="s">
        <v>721</v>
      </c>
      <c r="L7" s="480"/>
      <c r="N7" s="480"/>
      <c r="O7" s="480"/>
      <c r="P7" s="480"/>
    </row>
    <row r="8" spans="1:16" s="444" customFormat="1" ht="12.75">
      <c r="A8" s="590"/>
      <c r="B8" s="591"/>
      <c r="C8" s="591"/>
      <c r="D8" s="592"/>
      <c r="E8" s="592"/>
      <c r="F8" s="593" t="s">
        <v>722</v>
      </c>
      <c r="G8" s="553"/>
      <c r="H8" s="553"/>
      <c r="I8" s="594"/>
      <c r="J8" s="553"/>
      <c r="K8" s="553"/>
      <c r="L8" s="595"/>
      <c r="N8" s="429"/>
      <c r="O8" s="429"/>
      <c r="P8" s="429"/>
    </row>
    <row r="9" spans="1:12" s="477" customFormat="1" ht="11.25">
      <c r="A9" s="596"/>
      <c r="B9" s="597"/>
      <c r="C9" s="597"/>
      <c r="D9" s="556"/>
      <c r="E9" s="556"/>
      <c r="F9" s="556"/>
      <c r="G9" s="556"/>
      <c r="H9" s="598" t="s">
        <v>657</v>
      </c>
      <c r="I9" s="599"/>
      <c r="J9" s="556"/>
      <c r="K9" s="556"/>
      <c r="L9" s="600"/>
    </row>
    <row r="10" spans="1:16" ht="45">
      <c r="A10" s="596" t="s">
        <v>723</v>
      </c>
      <c r="B10" s="601" t="s">
        <v>724</v>
      </c>
      <c r="C10" s="601" t="s">
        <v>725</v>
      </c>
      <c r="D10" s="601" t="s">
        <v>726</v>
      </c>
      <c r="E10" s="601" t="s">
        <v>727</v>
      </c>
      <c r="F10" s="601" t="s">
        <v>84</v>
      </c>
      <c r="G10" s="601" t="s">
        <v>728</v>
      </c>
      <c r="H10" s="601" t="s">
        <v>668</v>
      </c>
      <c r="I10" s="601" t="s">
        <v>669</v>
      </c>
      <c r="J10" s="601" t="s">
        <v>93</v>
      </c>
      <c r="K10" s="601" t="s">
        <v>671</v>
      </c>
      <c r="L10" s="602" t="s">
        <v>729</v>
      </c>
      <c r="M10" s="500"/>
      <c r="N10" s="437"/>
      <c r="O10" s="437"/>
      <c r="P10" s="437"/>
    </row>
    <row r="11" spans="1:16" s="438" customFormat="1" ht="11.25">
      <c r="A11" s="603">
        <v>1</v>
      </c>
      <c r="B11" s="604">
        <v>2</v>
      </c>
      <c r="C11" s="604">
        <v>3</v>
      </c>
      <c r="D11" s="604">
        <v>4</v>
      </c>
      <c r="E11" s="604">
        <v>5</v>
      </c>
      <c r="F11" s="604">
        <v>6</v>
      </c>
      <c r="G11" s="604">
        <v>7</v>
      </c>
      <c r="H11" s="604">
        <v>8</v>
      </c>
      <c r="I11" s="604">
        <v>9</v>
      </c>
      <c r="J11" s="604">
        <v>10</v>
      </c>
      <c r="K11" s="604">
        <v>11</v>
      </c>
      <c r="L11" s="605">
        <v>12</v>
      </c>
      <c r="M11" s="483"/>
      <c r="N11" s="480"/>
      <c r="O11" s="480"/>
      <c r="P11" s="480"/>
    </row>
    <row r="12" spans="1:13" ht="12">
      <c r="A12" s="606" t="s">
        <v>674</v>
      </c>
      <c r="B12" s="572">
        <v>6500330</v>
      </c>
      <c r="C12" s="572">
        <v>3004521</v>
      </c>
      <c r="D12" s="572">
        <v>3495809</v>
      </c>
      <c r="E12" s="572">
        <v>-3495809</v>
      </c>
      <c r="F12" s="572">
        <v>0</v>
      </c>
      <c r="G12" s="572">
        <v>-3495809</v>
      </c>
      <c r="H12" s="572">
        <v>4982765</v>
      </c>
      <c r="I12" s="572">
        <v>8478574</v>
      </c>
      <c r="J12" s="572">
        <v>0</v>
      </c>
      <c r="K12" s="572">
        <v>0</v>
      </c>
      <c r="L12" s="573">
        <v>0</v>
      </c>
      <c r="M12" s="607"/>
    </row>
    <row r="13" spans="1:13" ht="12">
      <c r="A13" s="606" t="s">
        <v>675</v>
      </c>
      <c r="B13" s="572">
        <v>317715</v>
      </c>
      <c r="C13" s="572">
        <v>324178</v>
      </c>
      <c r="D13" s="572">
        <v>-6463</v>
      </c>
      <c r="E13" s="572">
        <v>6463</v>
      </c>
      <c r="F13" s="572">
        <v>-25000</v>
      </c>
      <c r="G13" s="572">
        <v>31463</v>
      </c>
      <c r="H13" s="572">
        <v>74146</v>
      </c>
      <c r="I13" s="572">
        <v>42683</v>
      </c>
      <c r="J13" s="572">
        <v>0</v>
      </c>
      <c r="K13" s="572">
        <v>0</v>
      </c>
      <c r="L13" s="573">
        <v>0</v>
      </c>
      <c r="M13" s="607"/>
    </row>
    <row r="14" spans="1:13" ht="12">
      <c r="A14" s="606" t="s">
        <v>676</v>
      </c>
      <c r="B14" s="572">
        <v>186964</v>
      </c>
      <c r="C14" s="572">
        <v>146120</v>
      </c>
      <c r="D14" s="572">
        <v>40844</v>
      </c>
      <c r="E14" s="572">
        <v>-40844</v>
      </c>
      <c r="F14" s="572">
        <v>0</v>
      </c>
      <c r="G14" s="572">
        <v>-40844</v>
      </c>
      <c r="H14" s="572">
        <v>103943</v>
      </c>
      <c r="I14" s="572">
        <v>144787</v>
      </c>
      <c r="J14" s="572">
        <v>0</v>
      </c>
      <c r="K14" s="572">
        <v>0</v>
      </c>
      <c r="L14" s="573">
        <v>0</v>
      </c>
      <c r="M14" s="607">
        <v>0</v>
      </c>
    </row>
    <row r="15" spans="1:13" ht="12">
      <c r="A15" s="606" t="s">
        <v>677</v>
      </c>
      <c r="B15" s="572">
        <v>440656</v>
      </c>
      <c r="C15" s="572">
        <v>451189</v>
      </c>
      <c r="D15" s="572">
        <v>-10533</v>
      </c>
      <c r="E15" s="572">
        <v>10533</v>
      </c>
      <c r="F15" s="572">
        <v>0</v>
      </c>
      <c r="G15" s="572">
        <v>10533</v>
      </c>
      <c r="H15" s="572">
        <v>148982</v>
      </c>
      <c r="I15" s="572">
        <v>138449</v>
      </c>
      <c r="J15" s="572">
        <v>0</v>
      </c>
      <c r="K15" s="572">
        <v>0</v>
      </c>
      <c r="L15" s="573">
        <v>0</v>
      </c>
      <c r="M15" s="607">
        <v>0</v>
      </c>
    </row>
    <row r="16" spans="1:13" ht="12">
      <c r="A16" s="606" t="s">
        <v>678</v>
      </c>
      <c r="B16" s="572">
        <v>358450</v>
      </c>
      <c r="C16" s="572">
        <v>318313</v>
      </c>
      <c r="D16" s="572">
        <v>40137</v>
      </c>
      <c r="E16" s="572">
        <v>-40137</v>
      </c>
      <c r="F16" s="572">
        <v>0</v>
      </c>
      <c r="G16" s="572">
        <v>-40137</v>
      </c>
      <c r="H16" s="572">
        <v>311894</v>
      </c>
      <c r="I16" s="572">
        <v>352031</v>
      </c>
      <c r="J16" s="572">
        <v>0</v>
      </c>
      <c r="K16" s="572">
        <v>0</v>
      </c>
      <c r="L16" s="573">
        <v>0</v>
      </c>
      <c r="M16" s="607">
        <v>0</v>
      </c>
    </row>
    <row r="17" spans="1:13" ht="12">
      <c r="A17" s="606" t="s">
        <v>679</v>
      </c>
      <c r="B17" s="572">
        <v>75842</v>
      </c>
      <c r="C17" s="572">
        <v>63862</v>
      </c>
      <c r="D17" s="572">
        <v>11980</v>
      </c>
      <c r="E17" s="572">
        <v>-11980</v>
      </c>
      <c r="F17" s="572">
        <v>0</v>
      </c>
      <c r="G17" s="572">
        <v>-11980</v>
      </c>
      <c r="H17" s="572">
        <v>56674</v>
      </c>
      <c r="I17" s="572">
        <v>68654</v>
      </c>
      <c r="J17" s="572">
        <v>0</v>
      </c>
      <c r="K17" s="572">
        <v>0</v>
      </c>
      <c r="L17" s="573">
        <v>0</v>
      </c>
      <c r="M17" s="607">
        <v>0</v>
      </c>
    </row>
    <row r="18" spans="1:13" ht="12">
      <c r="A18" s="606" t="s">
        <v>680</v>
      </c>
      <c r="B18" s="572">
        <v>771849</v>
      </c>
      <c r="C18" s="572">
        <v>2021614</v>
      </c>
      <c r="D18" s="572">
        <v>-1249765</v>
      </c>
      <c r="E18" s="572">
        <v>1249765</v>
      </c>
      <c r="F18" s="572">
        <v>774758</v>
      </c>
      <c r="G18" s="572">
        <v>475007</v>
      </c>
      <c r="H18" s="572">
        <v>1678980</v>
      </c>
      <c r="I18" s="572">
        <v>1203973</v>
      </c>
      <c r="J18" s="572">
        <v>0</v>
      </c>
      <c r="K18" s="572">
        <v>0</v>
      </c>
      <c r="L18" s="573">
        <v>0</v>
      </c>
      <c r="M18" s="585">
        <v>0</v>
      </c>
    </row>
    <row r="19" spans="1:16" s="610" customFormat="1" ht="12.75">
      <c r="A19" s="608" t="s">
        <v>681</v>
      </c>
      <c r="B19" s="572">
        <f aca="true" t="shared" si="0" ref="B19:L19">SUM(B12:B18)</f>
        <v>8651806</v>
      </c>
      <c r="C19" s="572">
        <f t="shared" si="0"/>
        <v>6329797</v>
      </c>
      <c r="D19" s="572">
        <f t="shared" si="0"/>
        <v>2322009</v>
      </c>
      <c r="E19" s="572">
        <f t="shared" si="0"/>
        <v>-2322009</v>
      </c>
      <c r="F19" s="572">
        <f t="shared" si="0"/>
        <v>749758</v>
      </c>
      <c r="G19" s="572">
        <f t="shared" si="0"/>
        <v>-3071767</v>
      </c>
      <c r="H19" s="572">
        <f t="shared" si="0"/>
        <v>7357384</v>
      </c>
      <c r="I19" s="572">
        <f t="shared" si="0"/>
        <v>10429151</v>
      </c>
      <c r="J19" s="572">
        <f t="shared" si="0"/>
        <v>0</v>
      </c>
      <c r="K19" s="572">
        <f t="shared" si="0"/>
        <v>0</v>
      </c>
      <c r="L19" s="573">
        <f t="shared" si="0"/>
        <v>0</v>
      </c>
      <c r="M19" s="609">
        <v>0</v>
      </c>
      <c r="N19" s="609"/>
      <c r="O19" s="609"/>
      <c r="P19" s="609"/>
    </row>
    <row r="20" spans="1:13" ht="12">
      <c r="A20" s="606" t="s">
        <v>683</v>
      </c>
      <c r="B20" s="572">
        <v>102500</v>
      </c>
      <c r="C20" s="572">
        <v>88151</v>
      </c>
      <c r="D20" s="572">
        <v>14349</v>
      </c>
      <c r="E20" s="572">
        <v>-14349</v>
      </c>
      <c r="F20" s="572">
        <v>1850</v>
      </c>
      <c r="G20" s="572">
        <v>-16199</v>
      </c>
      <c r="H20" s="572">
        <v>114183</v>
      </c>
      <c r="I20" s="572">
        <v>130382</v>
      </c>
      <c r="J20" s="572">
        <v>0</v>
      </c>
      <c r="K20" s="572">
        <v>0</v>
      </c>
      <c r="L20" s="573">
        <v>0</v>
      </c>
      <c r="M20" s="607">
        <v>0</v>
      </c>
    </row>
    <row r="21" spans="1:13" ht="12">
      <c r="A21" s="606" t="s">
        <v>684</v>
      </c>
      <c r="B21" s="572">
        <v>113470</v>
      </c>
      <c r="C21" s="572">
        <v>135609</v>
      </c>
      <c r="D21" s="572">
        <v>-22139</v>
      </c>
      <c r="E21" s="572">
        <v>22139</v>
      </c>
      <c r="F21" s="572">
        <v>-3000</v>
      </c>
      <c r="G21" s="572">
        <v>25139</v>
      </c>
      <c r="H21" s="572">
        <v>150094</v>
      </c>
      <c r="I21" s="572">
        <v>124955</v>
      </c>
      <c r="J21" s="572">
        <v>0</v>
      </c>
      <c r="K21" s="572">
        <v>0</v>
      </c>
      <c r="L21" s="573">
        <v>0</v>
      </c>
      <c r="M21" s="607"/>
    </row>
    <row r="22" spans="1:13" ht="12">
      <c r="A22" s="606" t="s">
        <v>685</v>
      </c>
      <c r="B22" s="572">
        <v>123879</v>
      </c>
      <c r="C22" s="572">
        <v>101465</v>
      </c>
      <c r="D22" s="572">
        <v>22414</v>
      </c>
      <c r="E22" s="572">
        <v>-22414</v>
      </c>
      <c r="F22" s="572">
        <v>-2350</v>
      </c>
      <c r="G22" s="572">
        <v>-20064</v>
      </c>
      <c r="H22" s="572">
        <v>71000</v>
      </c>
      <c r="I22" s="572">
        <v>91572</v>
      </c>
      <c r="J22" s="572">
        <v>0</v>
      </c>
      <c r="K22" s="572">
        <v>0</v>
      </c>
      <c r="L22" s="573">
        <v>0</v>
      </c>
      <c r="M22" s="607"/>
    </row>
    <row r="23" spans="1:13" ht="12">
      <c r="A23" s="606" t="s">
        <v>686</v>
      </c>
      <c r="B23" s="572">
        <v>251992</v>
      </c>
      <c r="C23" s="572">
        <v>127734</v>
      </c>
      <c r="D23" s="572">
        <v>124258</v>
      </c>
      <c r="E23" s="572">
        <v>-124258</v>
      </c>
      <c r="F23" s="572">
        <v>0</v>
      </c>
      <c r="G23" s="572">
        <v>-124258</v>
      </c>
      <c r="H23" s="572">
        <v>99663</v>
      </c>
      <c r="I23" s="572">
        <v>223921</v>
      </c>
      <c r="J23" s="572">
        <v>0</v>
      </c>
      <c r="K23" s="572">
        <v>0</v>
      </c>
      <c r="L23" s="573">
        <v>0</v>
      </c>
      <c r="M23" s="607"/>
    </row>
    <row r="24" spans="1:13" ht="12">
      <c r="A24" s="606" t="s">
        <v>687</v>
      </c>
      <c r="B24" s="572">
        <v>210798</v>
      </c>
      <c r="C24" s="572">
        <v>183619</v>
      </c>
      <c r="D24" s="572">
        <v>27179</v>
      </c>
      <c r="E24" s="572">
        <v>-27179</v>
      </c>
      <c r="F24" s="572">
        <v>-600</v>
      </c>
      <c r="G24" s="572">
        <v>-26579</v>
      </c>
      <c r="H24" s="572">
        <v>125613</v>
      </c>
      <c r="I24" s="572">
        <v>152192</v>
      </c>
      <c r="J24" s="572">
        <v>0</v>
      </c>
      <c r="K24" s="572">
        <v>0</v>
      </c>
      <c r="L24" s="573">
        <v>0</v>
      </c>
      <c r="M24" s="607"/>
    </row>
    <row r="25" spans="1:13" ht="12">
      <c r="A25" s="606" t="s">
        <v>688</v>
      </c>
      <c r="B25" s="572">
        <v>161809</v>
      </c>
      <c r="C25" s="572">
        <v>166686</v>
      </c>
      <c r="D25" s="572">
        <v>-4877</v>
      </c>
      <c r="E25" s="572">
        <v>4877</v>
      </c>
      <c r="F25" s="572">
        <v>0</v>
      </c>
      <c r="G25" s="572">
        <v>4877</v>
      </c>
      <c r="H25" s="572">
        <v>79454</v>
      </c>
      <c r="I25" s="572">
        <v>74577</v>
      </c>
      <c r="J25" s="572">
        <v>0</v>
      </c>
      <c r="K25" s="572">
        <v>0</v>
      </c>
      <c r="L25" s="573">
        <v>0</v>
      </c>
      <c r="M25" s="607"/>
    </row>
    <row r="26" spans="1:13" ht="12">
      <c r="A26" s="606" t="s">
        <v>689</v>
      </c>
      <c r="B26" s="572">
        <v>222041</v>
      </c>
      <c r="C26" s="572">
        <v>96573</v>
      </c>
      <c r="D26" s="572">
        <v>125468</v>
      </c>
      <c r="E26" s="572">
        <v>-125468</v>
      </c>
      <c r="F26" s="572">
        <v>0</v>
      </c>
      <c r="G26" s="572">
        <v>-125468</v>
      </c>
      <c r="H26" s="572">
        <v>60260</v>
      </c>
      <c r="I26" s="572">
        <v>185728</v>
      </c>
      <c r="J26" s="572">
        <v>0</v>
      </c>
      <c r="K26" s="572">
        <v>0</v>
      </c>
      <c r="L26" s="573">
        <v>0</v>
      </c>
      <c r="M26" s="607"/>
    </row>
    <row r="27" spans="1:13" ht="12">
      <c r="A27" s="606" t="s">
        <v>690</v>
      </c>
      <c r="B27" s="572">
        <v>74480</v>
      </c>
      <c r="C27" s="572">
        <v>81017</v>
      </c>
      <c r="D27" s="572">
        <v>-6537</v>
      </c>
      <c r="E27" s="572">
        <v>6537</v>
      </c>
      <c r="F27" s="572">
        <v>153</v>
      </c>
      <c r="G27" s="572">
        <v>6384</v>
      </c>
      <c r="H27" s="572">
        <v>68808</v>
      </c>
      <c r="I27" s="572">
        <v>62424</v>
      </c>
      <c r="J27" s="572">
        <v>0</v>
      </c>
      <c r="K27" s="572">
        <v>0</v>
      </c>
      <c r="L27" s="573">
        <v>0</v>
      </c>
      <c r="M27" s="607"/>
    </row>
    <row r="28" spans="1:13" ht="12">
      <c r="A28" s="606" t="s">
        <v>691</v>
      </c>
      <c r="B28" s="572">
        <v>119554</v>
      </c>
      <c r="C28" s="572">
        <v>89484</v>
      </c>
      <c r="D28" s="572">
        <v>30070</v>
      </c>
      <c r="E28" s="572">
        <v>-30070</v>
      </c>
      <c r="F28" s="572">
        <v>0</v>
      </c>
      <c r="G28" s="572">
        <v>-21414</v>
      </c>
      <c r="H28" s="572">
        <v>110754</v>
      </c>
      <c r="I28" s="572">
        <v>132168</v>
      </c>
      <c r="J28" s="572">
        <v>-8656</v>
      </c>
      <c r="K28" s="572">
        <v>0</v>
      </c>
      <c r="L28" s="573">
        <v>0</v>
      </c>
      <c r="M28" s="607"/>
    </row>
    <row r="29" spans="1:13" ht="12">
      <c r="A29" s="606" t="s">
        <v>692</v>
      </c>
      <c r="B29" s="572">
        <v>267562</v>
      </c>
      <c r="C29" s="572">
        <v>149447</v>
      </c>
      <c r="D29" s="572">
        <v>118115</v>
      </c>
      <c r="E29" s="572">
        <v>-118115</v>
      </c>
      <c r="F29" s="572">
        <v>500</v>
      </c>
      <c r="G29" s="572">
        <v>-118615</v>
      </c>
      <c r="H29" s="572">
        <v>101304</v>
      </c>
      <c r="I29" s="572">
        <v>219919</v>
      </c>
      <c r="J29" s="572">
        <v>0</v>
      </c>
      <c r="K29" s="572">
        <v>0</v>
      </c>
      <c r="L29" s="573">
        <v>0</v>
      </c>
      <c r="M29" s="607"/>
    </row>
    <row r="30" spans="1:13" ht="12">
      <c r="A30" s="606" t="s">
        <v>693</v>
      </c>
      <c r="B30" s="572">
        <v>166730</v>
      </c>
      <c r="C30" s="572">
        <v>149773</v>
      </c>
      <c r="D30" s="572">
        <v>16957</v>
      </c>
      <c r="E30" s="572">
        <v>-16957</v>
      </c>
      <c r="F30" s="572">
        <v>26295</v>
      </c>
      <c r="G30" s="572">
        <v>-43252</v>
      </c>
      <c r="H30" s="572">
        <v>100139</v>
      </c>
      <c r="I30" s="572">
        <v>143391</v>
      </c>
      <c r="J30" s="572">
        <v>0</v>
      </c>
      <c r="K30" s="572">
        <v>0</v>
      </c>
      <c r="L30" s="573">
        <v>0</v>
      </c>
      <c r="M30" s="607"/>
    </row>
    <row r="31" spans="1:13" ht="12">
      <c r="A31" s="606" t="s">
        <v>694</v>
      </c>
      <c r="B31" s="572">
        <v>361570</v>
      </c>
      <c r="C31" s="572">
        <v>197290</v>
      </c>
      <c r="D31" s="572">
        <v>164280</v>
      </c>
      <c r="E31" s="572">
        <v>-164280</v>
      </c>
      <c r="F31" s="572">
        <v>-5000</v>
      </c>
      <c r="G31" s="572">
        <v>-159280</v>
      </c>
      <c r="H31" s="572">
        <v>138343</v>
      </c>
      <c r="I31" s="572">
        <v>297623</v>
      </c>
      <c r="J31" s="572">
        <v>0</v>
      </c>
      <c r="K31" s="572">
        <v>0</v>
      </c>
      <c r="L31" s="573">
        <v>0</v>
      </c>
      <c r="M31" s="607"/>
    </row>
    <row r="32" spans="1:13" ht="12">
      <c r="A32" s="606" t="s">
        <v>695</v>
      </c>
      <c r="B32" s="572">
        <v>348550</v>
      </c>
      <c r="C32" s="572">
        <v>259542</v>
      </c>
      <c r="D32" s="572">
        <v>89008</v>
      </c>
      <c r="E32" s="572">
        <v>-89008</v>
      </c>
      <c r="F32" s="572">
        <v>200</v>
      </c>
      <c r="G32" s="572">
        <v>-89208</v>
      </c>
      <c r="H32" s="572">
        <v>147994</v>
      </c>
      <c r="I32" s="572">
        <v>237202</v>
      </c>
      <c r="J32" s="572">
        <v>0</v>
      </c>
      <c r="K32" s="572">
        <v>0</v>
      </c>
      <c r="L32" s="573">
        <v>0</v>
      </c>
      <c r="M32" s="607"/>
    </row>
    <row r="33" spans="1:13" ht="12">
      <c r="A33" s="606" t="s">
        <v>696</v>
      </c>
      <c r="B33" s="572">
        <v>166404</v>
      </c>
      <c r="C33" s="572">
        <v>130442</v>
      </c>
      <c r="D33" s="572">
        <v>35962</v>
      </c>
      <c r="E33" s="572">
        <v>-35962</v>
      </c>
      <c r="F33" s="572">
        <v>400</v>
      </c>
      <c r="G33" s="572">
        <v>-36362</v>
      </c>
      <c r="H33" s="572">
        <v>120000</v>
      </c>
      <c r="I33" s="572">
        <v>162190</v>
      </c>
      <c r="J33" s="572">
        <v>0</v>
      </c>
      <c r="K33" s="572">
        <v>0</v>
      </c>
      <c r="L33" s="573">
        <v>0</v>
      </c>
      <c r="M33" s="607"/>
    </row>
    <row r="34" spans="1:13" ht="12">
      <c r="A34" s="606" t="s">
        <v>697</v>
      </c>
      <c r="B34" s="572">
        <v>124469</v>
      </c>
      <c r="C34" s="572">
        <v>86135</v>
      </c>
      <c r="D34" s="572">
        <v>38334</v>
      </c>
      <c r="E34" s="572">
        <v>-38334</v>
      </c>
      <c r="F34" s="572">
        <v>83</v>
      </c>
      <c r="G34" s="572">
        <v>-38417</v>
      </c>
      <c r="H34" s="572">
        <v>151361</v>
      </c>
      <c r="I34" s="572">
        <v>189778</v>
      </c>
      <c r="J34" s="572">
        <v>0</v>
      </c>
      <c r="K34" s="572">
        <v>0</v>
      </c>
      <c r="L34" s="573">
        <v>0</v>
      </c>
      <c r="M34" s="607"/>
    </row>
    <row r="35" spans="1:13" ht="12">
      <c r="A35" s="606" t="s">
        <v>698</v>
      </c>
      <c r="B35" s="572">
        <v>161841</v>
      </c>
      <c r="C35" s="572">
        <v>140556</v>
      </c>
      <c r="D35" s="572">
        <v>21285</v>
      </c>
      <c r="E35" s="572">
        <v>-21285</v>
      </c>
      <c r="F35" s="572">
        <v>-1250</v>
      </c>
      <c r="G35" s="572">
        <v>-20035</v>
      </c>
      <c r="H35" s="572">
        <v>150132</v>
      </c>
      <c r="I35" s="572">
        <v>170167</v>
      </c>
      <c r="J35" s="572">
        <v>0</v>
      </c>
      <c r="K35" s="572">
        <v>0</v>
      </c>
      <c r="L35" s="573">
        <v>0</v>
      </c>
      <c r="M35" s="607"/>
    </row>
    <row r="36" spans="1:13" ht="12">
      <c r="A36" s="606" t="s">
        <v>699</v>
      </c>
      <c r="B36" s="572">
        <v>200151</v>
      </c>
      <c r="C36" s="572">
        <v>175308</v>
      </c>
      <c r="D36" s="572">
        <v>24843</v>
      </c>
      <c r="E36" s="572">
        <v>-24843</v>
      </c>
      <c r="F36" s="572">
        <v>0</v>
      </c>
      <c r="G36" s="572">
        <v>-31843</v>
      </c>
      <c r="H36" s="572">
        <v>191208</v>
      </c>
      <c r="I36" s="572">
        <v>223051</v>
      </c>
      <c r="J36" s="572">
        <v>0</v>
      </c>
      <c r="K36" s="572">
        <v>7000</v>
      </c>
      <c r="L36" s="573">
        <v>0</v>
      </c>
      <c r="M36" s="607"/>
    </row>
    <row r="37" spans="1:13" ht="12">
      <c r="A37" s="606" t="s">
        <v>700</v>
      </c>
      <c r="B37" s="572">
        <v>237172</v>
      </c>
      <c r="C37" s="572">
        <v>244055</v>
      </c>
      <c r="D37" s="572">
        <v>-6883</v>
      </c>
      <c r="E37" s="572">
        <v>6883</v>
      </c>
      <c r="F37" s="572">
        <v>-1558</v>
      </c>
      <c r="G37" s="572">
        <v>8441</v>
      </c>
      <c r="H37" s="572">
        <v>75076</v>
      </c>
      <c r="I37" s="572">
        <v>66635</v>
      </c>
      <c r="J37" s="572">
        <v>0</v>
      </c>
      <c r="K37" s="572">
        <v>0</v>
      </c>
      <c r="L37" s="573">
        <v>0</v>
      </c>
      <c r="M37" s="607"/>
    </row>
    <row r="38" spans="1:13" ht="12">
      <c r="A38" s="606" t="s">
        <v>701</v>
      </c>
      <c r="B38" s="572">
        <v>97674</v>
      </c>
      <c r="C38" s="572">
        <v>63896</v>
      </c>
      <c r="D38" s="572">
        <v>33778</v>
      </c>
      <c r="E38" s="572">
        <v>-33778</v>
      </c>
      <c r="F38" s="572">
        <v>0</v>
      </c>
      <c r="G38" s="572">
        <v>-33778</v>
      </c>
      <c r="H38" s="572">
        <v>125828</v>
      </c>
      <c r="I38" s="572">
        <v>159606</v>
      </c>
      <c r="J38" s="572">
        <v>0</v>
      </c>
      <c r="K38" s="572">
        <v>0</v>
      </c>
      <c r="L38" s="573">
        <v>0</v>
      </c>
      <c r="M38" s="607"/>
    </row>
    <row r="39" spans="1:13" ht="12">
      <c r="A39" s="606" t="s">
        <v>702</v>
      </c>
      <c r="B39" s="572">
        <v>515077</v>
      </c>
      <c r="C39" s="572">
        <v>406718</v>
      </c>
      <c r="D39" s="572">
        <v>108359</v>
      </c>
      <c r="E39" s="572">
        <v>-108359</v>
      </c>
      <c r="F39" s="572">
        <v>0</v>
      </c>
      <c r="G39" s="572">
        <v>-108359</v>
      </c>
      <c r="H39" s="572">
        <v>358000</v>
      </c>
      <c r="I39" s="572">
        <v>458573</v>
      </c>
      <c r="J39" s="572">
        <v>0</v>
      </c>
      <c r="K39" s="572">
        <v>0</v>
      </c>
      <c r="L39" s="573">
        <v>0</v>
      </c>
      <c r="M39" s="607"/>
    </row>
    <row r="40" spans="1:13" ht="12">
      <c r="A40" s="606" t="s">
        <v>703</v>
      </c>
      <c r="B40" s="572">
        <v>91597</v>
      </c>
      <c r="C40" s="572">
        <v>105314</v>
      </c>
      <c r="D40" s="572">
        <v>-13717</v>
      </c>
      <c r="E40" s="572">
        <v>13717</v>
      </c>
      <c r="F40" s="572">
        <v>-4600</v>
      </c>
      <c r="G40" s="572">
        <v>19000</v>
      </c>
      <c r="H40" s="572">
        <v>193711</v>
      </c>
      <c r="I40" s="572">
        <v>176000</v>
      </c>
      <c r="J40" s="572">
        <v>0</v>
      </c>
      <c r="K40" s="572">
        <v>0</v>
      </c>
      <c r="L40" s="573">
        <v>0</v>
      </c>
      <c r="M40" s="607"/>
    </row>
    <row r="41" spans="1:13" ht="12">
      <c r="A41" s="606" t="s">
        <v>704</v>
      </c>
      <c r="B41" s="572">
        <v>134017</v>
      </c>
      <c r="C41" s="572">
        <v>105027</v>
      </c>
      <c r="D41" s="572">
        <v>28990</v>
      </c>
      <c r="E41" s="572">
        <v>-28990</v>
      </c>
      <c r="F41" s="572">
        <v>0</v>
      </c>
      <c r="G41" s="572">
        <v>-28990</v>
      </c>
      <c r="H41" s="572">
        <v>180663</v>
      </c>
      <c r="I41" s="572">
        <v>209653</v>
      </c>
      <c r="J41" s="572">
        <v>0</v>
      </c>
      <c r="K41" s="572">
        <v>0</v>
      </c>
      <c r="L41" s="573">
        <v>0</v>
      </c>
      <c r="M41" s="607"/>
    </row>
    <row r="42" spans="1:13" ht="12">
      <c r="A42" s="606" t="s">
        <v>705</v>
      </c>
      <c r="B42" s="572">
        <v>143478</v>
      </c>
      <c r="C42" s="572">
        <v>172081</v>
      </c>
      <c r="D42" s="572">
        <v>-28603</v>
      </c>
      <c r="E42" s="572">
        <v>28603</v>
      </c>
      <c r="F42" s="572">
        <v>0</v>
      </c>
      <c r="G42" s="572">
        <v>28603</v>
      </c>
      <c r="H42" s="572">
        <v>330000</v>
      </c>
      <c r="I42" s="572">
        <v>300835</v>
      </c>
      <c r="J42" s="572">
        <v>0</v>
      </c>
      <c r="K42" s="572">
        <v>0</v>
      </c>
      <c r="L42" s="573">
        <v>0</v>
      </c>
      <c r="M42" s="607"/>
    </row>
    <row r="43" spans="1:13" ht="12">
      <c r="A43" s="606" t="s">
        <v>706</v>
      </c>
      <c r="B43" s="572">
        <v>101754</v>
      </c>
      <c r="C43" s="572">
        <v>72662</v>
      </c>
      <c r="D43" s="572">
        <v>29092</v>
      </c>
      <c r="E43" s="572">
        <v>-29092</v>
      </c>
      <c r="F43" s="572">
        <v>0</v>
      </c>
      <c r="G43" s="572">
        <v>-29092</v>
      </c>
      <c r="H43" s="572">
        <v>93591</v>
      </c>
      <c r="I43" s="572">
        <v>122683</v>
      </c>
      <c r="J43" s="572">
        <v>0</v>
      </c>
      <c r="K43" s="572">
        <v>0</v>
      </c>
      <c r="L43" s="573">
        <v>0</v>
      </c>
      <c r="M43" s="607"/>
    </row>
    <row r="44" spans="1:13" ht="12">
      <c r="A44" s="606" t="s">
        <v>707</v>
      </c>
      <c r="B44" s="572">
        <v>186416</v>
      </c>
      <c r="C44" s="572">
        <v>114768</v>
      </c>
      <c r="D44" s="572">
        <v>71648</v>
      </c>
      <c r="E44" s="572">
        <v>-71648</v>
      </c>
      <c r="F44" s="572">
        <v>0</v>
      </c>
      <c r="G44" s="572">
        <v>-71648</v>
      </c>
      <c r="H44" s="572">
        <v>158959</v>
      </c>
      <c r="I44" s="572">
        <v>230607</v>
      </c>
      <c r="J44" s="572">
        <v>0</v>
      </c>
      <c r="K44" s="572">
        <v>0</v>
      </c>
      <c r="L44" s="573">
        <v>0</v>
      </c>
      <c r="M44" s="607"/>
    </row>
    <row r="45" spans="1:13" ht="12">
      <c r="A45" s="606" t="s">
        <v>708</v>
      </c>
      <c r="B45" s="572">
        <v>92135</v>
      </c>
      <c r="C45" s="572">
        <v>84501</v>
      </c>
      <c r="D45" s="572">
        <v>7634</v>
      </c>
      <c r="E45" s="572">
        <v>-7634</v>
      </c>
      <c r="F45" s="572">
        <v>0</v>
      </c>
      <c r="G45" s="572">
        <v>-7634</v>
      </c>
      <c r="H45" s="572">
        <v>142100</v>
      </c>
      <c r="I45" s="572">
        <v>149734</v>
      </c>
      <c r="J45" s="572">
        <v>0</v>
      </c>
      <c r="K45" s="572">
        <v>0</v>
      </c>
      <c r="L45" s="573">
        <v>0</v>
      </c>
      <c r="M45" s="607"/>
    </row>
    <row r="46" spans="1:12" ht="12.75">
      <c r="A46" s="608" t="s">
        <v>709</v>
      </c>
      <c r="B46" s="572">
        <f aca="true" t="shared" si="1" ref="B46:L46">SUM(B20:B45)</f>
        <v>4777120</v>
      </c>
      <c r="C46" s="572">
        <f t="shared" si="1"/>
        <v>3727853</v>
      </c>
      <c r="D46" s="572">
        <f t="shared" si="1"/>
        <v>1049267</v>
      </c>
      <c r="E46" s="572">
        <f t="shared" si="1"/>
        <v>-1049267</v>
      </c>
      <c r="F46" s="572">
        <f t="shared" si="1"/>
        <v>11123</v>
      </c>
      <c r="G46" s="572">
        <f t="shared" si="1"/>
        <v>-1058051</v>
      </c>
      <c r="H46" s="572">
        <f t="shared" si="1"/>
        <v>3638238</v>
      </c>
      <c r="I46" s="572">
        <f t="shared" si="1"/>
        <v>4695566</v>
      </c>
      <c r="J46" s="572">
        <f t="shared" si="1"/>
        <v>-8656</v>
      </c>
      <c r="K46" s="572">
        <f t="shared" si="1"/>
        <v>7000</v>
      </c>
      <c r="L46" s="573">
        <f t="shared" si="1"/>
        <v>0</v>
      </c>
    </row>
    <row r="47" spans="1:12" ht="12.75">
      <c r="A47" s="611" t="s">
        <v>710</v>
      </c>
      <c r="B47" s="577">
        <f aca="true" t="shared" si="2" ref="B47:L47">SUM(B46,B19)</f>
        <v>13428926</v>
      </c>
      <c r="C47" s="577">
        <f t="shared" si="2"/>
        <v>10057650</v>
      </c>
      <c r="D47" s="577">
        <f t="shared" si="2"/>
        <v>3371276</v>
      </c>
      <c r="E47" s="577">
        <f t="shared" si="2"/>
        <v>-3371276</v>
      </c>
      <c r="F47" s="577">
        <f t="shared" si="2"/>
        <v>760881</v>
      </c>
      <c r="G47" s="577">
        <f t="shared" si="2"/>
        <v>-4129818</v>
      </c>
      <c r="H47" s="577">
        <f t="shared" si="2"/>
        <v>10995622</v>
      </c>
      <c r="I47" s="577">
        <f t="shared" si="2"/>
        <v>15124717</v>
      </c>
      <c r="J47" s="577">
        <f t="shared" si="2"/>
        <v>-8656</v>
      </c>
      <c r="K47" s="577">
        <f t="shared" si="2"/>
        <v>7000</v>
      </c>
      <c r="L47" s="578">
        <f t="shared" si="2"/>
        <v>0</v>
      </c>
    </row>
    <row r="48" spans="1:12" ht="12.75">
      <c r="A48" s="612"/>
      <c r="B48" s="613"/>
      <c r="C48" s="613"/>
      <c r="D48" s="613"/>
      <c r="E48" s="613"/>
      <c r="F48" s="613"/>
      <c r="G48" s="613"/>
      <c r="H48" s="613"/>
      <c r="I48" s="613"/>
      <c r="J48" s="613"/>
      <c r="K48" s="613"/>
      <c r="L48" s="613"/>
    </row>
    <row r="49" s="580" customFormat="1" ht="12">
      <c r="A49" s="579" t="s">
        <v>730</v>
      </c>
    </row>
    <row r="54" spans="1:11" s="474" customFormat="1" ht="11.25" customHeight="1">
      <c r="A54" s="586" t="s">
        <v>575</v>
      </c>
      <c r="H54" s="474" t="s">
        <v>714</v>
      </c>
      <c r="K54" s="474" t="s">
        <v>576</v>
      </c>
    </row>
    <row r="55" spans="1:16" s="580" customFormat="1" ht="12">
      <c r="A55" s="614"/>
      <c r="B55" s="496"/>
      <c r="C55" s="474"/>
      <c r="D55" s="496"/>
      <c r="E55" s="496"/>
      <c r="F55" s="496"/>
      <c r="G55" s="474"/>
      <c r="H55" s="583"/>
      <c r="I55" s="496"/>
      <c r="J55" s="496"/>
      <c r="K55" s="496"/>
      <c r="L55" s="496"/>
      <c r="M55" s="496"/>
      <c r="N55" s="496"/>
      <c r="O55" s="496"/>
      <c r="P55" s="496"/>
    </row>
    <row r="56" spans="1:8" s="618" customFormat="1" ht="11.25">
      <c r="A56" s="615"/>
      <c r="B56" s="616"/>
      <c r="C56" s="430"/>
      <c r="D56" s="617"/>
      <c r="E56" s="430"/>
      <c r="F56" s="617"/>
      <c r="G56" s="617"/>
      <c r="H56" s="430"/>
    </row>
    <row r="57" spans="1:9" s="585" customFormat="1" ht="12.75">
      <c r="A57" s="534"/>
      <c r="B57" s="619"/>
      <c r="C57" s="430"/>
      <c r="D57" s="620"/>
      <c r="E57" s="620"/>
      <c r="G57" s="621"/>
      <c r="I57" s="580"/>
    </row>
    <row r="58" spans="1:16" s="580" customFormat="1" ht="12">
      <c r="A58" s="614"/>
      <c r="B58" s="496"/>
      <c r="C58" s="474"/>
      <c r="D58" s="496"/>
      <c r="E58" s="496"/>
      <c r="F58" s="496"/>
      <c r="G58" s="474"/>
      <c r="H58" s="583"/>
      <c r="I58" s="496"/>
      <c r="J58" s="496"/>
      <c r="K58" s="496"/>
      <c r="L58" s="496"/>
      <c r="M58" s="496"/>
      <c r="N58" s="496"/>
      <c r="O58" s="496"/>
      <c r="P58" s="496"/>
    </row>
    <row r="59" s="585" customFormat="1" ht="11.25">
      <c r="A59" s="584"/>
    </row>
    <row r="60" spans="1:6" s="585" customFormat="1" ht="11.25">
      <c r="A60" s="584"/>
      <c r="B60" s="430"/>
      <c r="C60" s="430"/>
      <c r="D60" s="430"/>
      <c r="E60" s="430"/>
      <c r="F60" s="430"/>
    </row>
    <row r="67" ht="11.25">
      <c r="A67" s="483" t="s">
        <v>716</v>
      </c>
    </row>
    <row r="68" s="483" customFormat="1" ht="11.25">
      <c r="A68" s="587" t="s">
        <v>717</v>
      </c>
    </row>
    <row r="69" ht="11.25">
      <c r="A69" s="587"/>
    </row>
  </sheetData>
  <printOptions/>
  <pageMargins left="0.7" right="0.2362204724409449" top="0.78" bottom="0.75" header="0.18" footer="0"/>
  <pageSetup firstPageNumber="33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C128"/>
  <sheetViews>
    <sheetView workbookViewId="0" topLeftCell="F1">
      <selection activeCell="F5" sqref="F5"/>
    </sheetView>
  </sheetViews>
  <sheetFormatPr defaultColWidth="9.140625" defaultRowHeight="12.75"/>
  <cols>
    <col min="1" max="1" width="47.421875" style="44" hidden="1" customWidth="1"/>
    <col min="2" max="2" width="13.28125" style="103" hidden="1" customWidth="1"/>
    <col min="3" max="3" width="12.7109375" style="44" hidden="1" customWidth="1"/>
    <col min="4" max="4" width="7.57421875" style="44" hidden="1" customWidth="1"/>
    <col min="5" max="5" width="2.8515625" style="44" hidden="1" customWidth="1"/>
    <col min="6" max="6" width="50.00390625" style="0" customWidth="1"/>
    <col min="7" max="7" width="10.7109375" style="0" customWidth="1"/>
    <col min="8" max="8" width="10.57421875" style="0" customWidth="1"/>
    <col min="9" max="9" width="9.00390625" style="0" customWidth="1"/>
    <col min="10" max="10" width="9.421875" style="0" customWidth="1"/>
    <col min="212" max="16384" width="9.140625" style="44" customWidth="1"/>
  </cols>
  <sheetData>
    <row r="1" spans="5:10" ht="12.75">
      <c r="E1" s="44" t="s">
        <v>145</v>
      </c>
      <c r="F1" s="44"/>
      <c r="G1" s="103"/>
      <c r="H1" s="44"/>
      <c r="I1" s="44"/>
      <c r="J1" s="44" t="s">
        <v>145</v>
      </c>
    </row>
    <row r="2" spans="1:10" ht="18" customHeight="1">
      <c r="A2" s="32" t="s">
        <v>146</v>
      </c>
      <c r="B2" s="104"/>
      <c r="C2" s="32"/>
      <c r="D2" s="32"/>
      <c r="E2" s="32"/>
      <c r="F2" s="32" t="s">
        <v>146</v>
      </c>
      <c r="G2" s="104"/>
      <c r="H2" s="32"/>
      <c r="I2" s="32"/>
      <c r="J2" s="32"/>
    </row>
    <row r="3" spans="6:10" ht="20.25" customHeight="1">
      <c r="F3" s="44"/>
      <c r="G3" s="103"/>
      <c r="H3" s="44"/>
      <c r="I3" s="44"/>
      <c r="J3" s="44"/>
    </row>
    <row r="4" spans="1:10" ht="18.75" customHeight="1">
      <c r="A4" s="692" t="s">
        <v>147</v>
      </c>
      <c r="B4" s="692"/>
      <c r="C4" s="692"/>
      <c r="D4" s="692"/>
      <c r="E4" s="692"/>
      <c r="F4" s="692" t="s">
        <v>148</v>
      </c>
      <c r="G4" s="692"/>
      <c r="H4" s="692"/>
      <c r="I4" s="692"/>
      <c r="J4" s="692"/>
    </row>
    <row r="5" spans="1:10" ht="18.7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5.75" customHeight="1">
      <c r="A6" s="106"/>
      <c r="B6" s="104"/>
      <c r="C6" s="32"/>
      <c r="D6" s="39"/>
      <c r="E6" s="39"/>
      <c r="F6" s="106"/>
      <c r="G6" s="104"/>
      <c r="H6" s="32"/>
      <c r="I6" s="39"/>
      <c r="J6" s="39" t="s">
        <v>149</v>
      </c>
    </row>
    <row r="7" spans="1:10" ht="78.75">
      <c r="A7" s="5" t="s">
        <v>59</v>
      </c>
      <c r="B7" s="107" t="s">
        <v>110</v>
      </c>
      <c r="C7" s="5" t="s">
        <v>112</v>
      </c>
      <c r="D7" s="5" t="s">
        <v>150</v>
      </c>
      <c r="E7" s="5" t="s">
        <v>151</v>
      </c>
      <c r="F7" s="5" t="s">
        <v>59</v>
      </c>
      <c r="G7" s="107" t="s">
        <v>110</v>
      </c>
      <c r="H7" s="5" t="s">
        <v>112</v>
      </c>
      <c r="I7" s="5" t="s">
        <v>150</v>
      </c>
      <c r="J7" s="5" t="s">
        <v>152</v>
      </c>
    </row>
    <row r="8" spans="1:10" ht="12.75">
      <c r="A8" s="5">
        <v>1</v>
      </c>
      <c r="B8" s="107">
        <v>2</v>
      </c>
      <c r="C8" s="5">
        <v>3</v>
      </c>
      <c r="D8" s="5">
        <v>4</v>
      </c>
      <c r="E8" s="5">
        <v>5</v>
      </c>
      <c r="F8" s="5">
        <v>1</v>
      </c>
      <c r="G8" s="107">
        <v>2</v>
      </c>
      <c r="H8" s="5">
        <v>3</v>
      </c>
      <c r="I8" s="5">
        <v>4</v>
      </c>
      <c r="J8" s="5">
        <v>5</v>
      </c>
    </row>
    <row r="9" spans="1:10" ht="25.5" customHeight="1">
      <c r="A9" s="26" t="s">
        <v>153</v>
      </c>
      <c r="B9" s="108">
        <f>SUM(B23,B32)</f>
        <v>1373743104</v>
      </c>
      <c r="C9" s="108">
        <f>SUM(C23,C32)</f>
        <v>0</v>
      </c>
      <c r="D9" s="109">
        <f>IF(ISERROR(C9/B9)," ",(C9/B9))</f>
        <v>0</v>
      </c>
      <c r="E9" s="108">
        <f>C9</f>
        <v>0</v>
      </c>
      <c r="F9" s="26" t="s">
        <v>153</v>
      </c>
      <c r="G9" s="110">
        <f>SUM(G23,G32)</f>
        <v>1373743</v>
      </c>
      <c r="H9" s="110">
        <f>SUM(H23,H32)</f>
        <v>315634</v>
      </c>
      <c r="I9" s="111">
        <f>IF(ISERROR(H9/G9)," ",(H9/G9))</f>
        <v>0.22976204428339217</v>
      </c>
      <c r="J9" s="110">
        <f>H9-'[3]Februaris'!H9</f>
        <v>108786</v>
      </c>
    </row>
    <row r="10" spans="1:10" ht="25.5" customHeight="1">
      <c r="A10" s="79" t="s">
        <v>154</v>
      </c>
      <c r="B10" s="108">
        <f>SUM(B11,B19,B20,B21)</f>
        <v>737531269</v>
      </c>
      <c r="C10" s="108">
        <f>SUM(C11,C19,C20)</f>
        <v>0</v>
      </c>
      <c r="D10" s="109">
        <f aca="true" t="shared" si="0" ref="D10:D69">IF(ISERROR(C10/B10)," ",(C10/B10))</f>
        <v>0</v>
      </c>
      <c r="E10" s="108">
        <f aca="true" t="shared" si="1" ref="E10:E69">C10</f>
        <v>0</v>
      </c>
      <c r="F10" s="79" t="s">
        <v>154</v>
      </c>
      <c r="G10" s="110">
        <f>SUM(G11,G19,G20,G21)</f>
        <v>737531</v>
      </c>
      <c r="H10" s="110">
        <f>SUM(H11,H19,H20,H21)</f>
        <v>170498</v>
      </c>
      <c r="I10" s="111">
        <f aca="true" t="shared" si="2" ref="I10:I69">IF(ISERROR(H10/G10)," ",(H10/G10))</f>
        <v>0.23117401166866205</v>
      </c>
      <c r="J10" s="110">
        <f>H10-'[3]Februaris'!H10</f>
        <v>58066</v>
      </c>
    </row>
    <row r="11" spans="1:10" ht="19.5" customHeight="1">
      <c r="A11" s="67" t="s">
        <v>155</v>
      </c>
      <c r="B11" s="112">
        <f>SUM(B12,B14,B18)</f>
        <v>587500000</v>
      </c>
      <c r="C11" s="112">
        <f>SUM(C12,C14,C18)</f>
        <v>0</v>
      </c>
      <c r="D11" s="113">
        <f t="shared" si="0"/>
        <v>0</v>
      </c>
      <c r="E11" s="108">
        <f t="shared" si="1"/>
        <v>0</v>
      </c>
      <c r="F11" s="67" t="s">
        <v>155</v>
      </c>
      <c r="G11" s="114">
        <f>SUM(G12,G14,G18)</f>
        <v>587500</v>
      </c>
      <c r="H11" s="114">
        <f>SUM(H12,H14,H18)</f>
        <v>133491</v>
      </c>
      <c r="I11" s="115">
        <f t="shared" si="2"/>
        <v>0.2272187234042553</v>
      </c>
      <c r="J11" s="114">
        <f>H11-'[3]Februaris'!H11</f>
        <v>47260</v>
      </c>
    </row>
    <row r="12" spans="1:10" ht="15.75" customHeight="1">
      <c r="A12" s="116" t="s">
        <v>156</v>
      </c>
      <c r="B12" s="112">
        <f>SUM(B13)</f>
        <v>95100000</v>
      </c>
      <c r="C12" s="112">
        <f>SUM(C13)</f>
        <v>0</v>
      </c>
      <c r="D12" s="113">
        <f t="shared" si="0"/>
        <v>0</v>
      </c>
      <c r="E12" s="108">
        <f t="shared" si="1"/>
        <v>0</v>
      </c>
      <c r="F12" s="116" t="s">
        <v>156</v>
      </c>
      <c r="G12" s="112">
        <f>SUM(G13)</f>
        <v>95100</v>
      </c>
      <c r="H12" s="112">
        <f>SUM(H13)</f>
        <v>22096</v>
      </c>
      <c r="I12" s="117">
        <f t="shared" si="2"/>
        <v>0.23234490010515246</v>
      </c>
      <c r="J12" s="112">
        <f>H12-'[3]Februaris'!H12</f>
        <v>8125</v>
      </c>
    </row>
    <row r="13" spans="1:10" ht="15.75" customHeight="1">
      <c r="A13" s="70" t="s">
        <v>157</v>
      </c>
      <c r="B13" s="112">
        <v>95100000</v>
      </c>
      <c r="C13" s="112"/>
      <c r="D13" s="113">
        <f t="shared" si="0"/>
        <v>0</v>
      </c>
      <c r="E13" s="108">
        <f t="shared" si="1"/>
        <v>0</v>
      </c>
      <c r="F13" s="70" t="s">
        <v>157</v>
      </c>
      <c r="G13" s="114">
        <f>ROUND(B13/1000,0)</f>
        <v>95100</v>
      </c>
      <c r="H13" s="114">
        <v>22096</v>
      </c>
      <c r="I13" s="115">
        <f t="shared" si="2"/>
        <v>0.23234490010515246</v>
      </c>
      <c r="J13" s="114">
        <f>H13-'[3]Februaris'!H13</f>
        <v>8125</v>
      </c>
    </row>
    <row r="14" spans="1:10" ht="16.5" customHeight="1">
      <c r="A14" s="116" t="s">
        <v>158</v>
      </c>
      <c r="B14" s="112">
        <f>SUM(B15:B17)</f>
        <v>492400000</v>
      </c>
      <c r="C14" s="112">
        <f>SUM(C15:C17)</f>
        <v>0</v>
      </c>
      <c r="D14" s="113">
        <f t="shared" si="0"/>
        <v>0</v>
      </c>
      <c r="E14" s="108">
        <f t="shared" si="1"/>
        <v>0</v>
      </c>
      <c r="F14" s="116" t="s">
        <v>158</v>
      </c>
      <c r="G14" s="112">
        <f>SUM(G15:G17)</f>
        <v>492400</v>
      </c>
      <c r="H14" s="112">
        <f>SUM(H15:H17)</f>
        <v>107132</v>
      </c>
      <c r="I14" s="117">
        <f t="shared" si="2"/>
        <v>0.2175710804224208</v>
      </c>
      <c r="J14" s="112">
        <f>H14-'[3]Februaris'!H14</f>
        <v>38734</v>
      </c>
    </row>
    <row r="15" spans="1:10" ht="17.25" customHeight="1">
      <c r="A15" s="118" t="s">
        <v>159</v>
      </c>
      <c r="B15" s="112">
        <v>346096000</v>
      </c>
      <c r="C15" s="112"/>
      <c r="D15" s="113">
        <f t="shared" si="0"/>
        <v>0</v>
      </c>
      <c r="E15" s="108">
        <f t="shared" si="1"/>
        <v>0</v>
      </c>
      <c r="F15" s="118" t="s">
        <v>159</v>
      </c>
      <c r="G15" s="114">
        <f aca="true" t="shared" si="3" ref="G15:G22">ROUND(B15/1000,0)</f>
        <v>346096</v>
      </c>
      <c r="H15" s="114">
        <v>77958</v>
      </c>
      <c r="I15" s="115">
        <f t="shared" si="2"/>
        <v>0.22524964171790485</v>
      </c>
      <c r="J15" s="114">
        <f>H15-'[3]Februaris'!H15</f>
        <v>27774</v>
      </c>
    </row>
    <row r="16" spans="1:10" ht="17.25" customHeight="1">
      <c r="A16" s="70" t="s">
        <v>160</v>
      </c>
      <c r="B16" s="112">
        <v>133504000</v>
      </c>
      <c r="C16" s="112"/>
      <c r="D16" s="113">
        <f t="shared" si="0"/>
        <v>0</v>
      </c>
      <c r="E16" s="108">
        <f t="shared" si="1"/>
        <v>0</v>
      </c>
      <c r="F16" s="70" t="s">
        <v>160</v>
      </c>
      <c r="G16" s="114">
        <f t="shared" si="3"/>
        <v>133504</v>
      </c>
      <c r="H16" s="114">
        <v>25846</v>
      </c>
      <c r="I16" s="115">
        <f t="shared" si="2"/>
        <v>0.19359719558964525</v>
      </c>
      <c r="J16" s="114">
        <f>H16-'[3]Februaris'!H16</f>
        <v>9716</v>
      </c>
    </row>
    <row r="17" spans="1:10" ht="16.5" customHeight="1">
      <c r="A17" s="70" t="s">
        <v>161</v>
      </c>
      <c r="B17" s="112">
        <v>12800000</v>
      </c>
      <c r="C17" s="112"/>
      <c r="D17" s="113">
        <f t="shared" si="0"/>
        <v>0</v>
      </c>
      <c r="E17" s="108">
        <f t="shared" si="1"/>
        <v>0</v>
      </c>
      <c r="F17" s="70" t="s">
        <v>161</v>
      </c>
      <c r="G17" s="114">
        <f t="shared" si="3"/>
        <v>12800</v>
      </c>
      <c r="H17" s="114">
        <v>3328</v>
      </c>
      <c r="I17" s="115">
        <f t="shared" si="2"/>
        <v>0.26</v>
      </c>
      <c r="J17" s="114">
        <f>H17-'[3]Februaris'!H17</f>
        <v>1244</v>
      </c>
    </row>
    <row r="18" spans="1:10" ht="12.75">
      <c r="A18" s="116" t="s">
        <v>162</v>
      </c>
      <c r="B18" s="112"/>
      <c r="C18" s="112"/>
      <c r="D18" s="113" t="str">
        <f t="shared" si="0"/>
        <v> </v>
      </c>
      <c r="E18" s="108">
        <f t="shared" si="1"/>
        <v>0</v>
      </c>
      <c r="F18" s="116" t="s">
        <v>162</v>
      </c>
      <c r="G18" s="112">
        <f t="shared" si="3"/>
        <v>0</v>
      </c>
      <c r="H18" s="112">
        <v>4263</v>
      </c>
      <c r="I18" s="117" t="str">
        <f t="shared" si="2"/>
        <v> </v>
      </c>
      <c r="J18" s="112">
        <f>H18-'[3]Februaris'!H18</f>
        <v>401</v>
      </c>
    </row>
    <row r="19" spans="1:10" ht="13.5" customHeight="1">
      <c r="A19" s="67" t="s">
        <v>163</v>
      </c>
      <c r="B19" s="112">
        <v>59128087</v>
      </c>
      <c r="C19" s="112"/>
      <c r="D19" s="113">
        <f t="shared" si="0"/>
        <v>0</v>
      </c>
      <c r="E19" s="108">
        <f t="shared" si="1"/>
        <v>0</v>
      </c>
      <c r="F19" s="67" t="s">
        <v>163</v>
      </c>
      <c r="G19" s="114">
        <f t="shared" si="3"/>
        <v>59128</v>
      </c>
      <c r="H19" s="114">
        <v>12954</v>
      </c>
      <c r="I19" s="115">
        <f t="shared" si="2"/>
        <v>0.21908402110675146</v>
      </c>
      <c r="J19" s="114">
        <f>H19-'[3]Februaris'!H19</f>
        <v>5806</v>
      </c>
    </row>
    <row r="20" spans="1:10" ht="13.5" customHeight="1">
      <c r="A20" s="119" t="s">
        <v>164</v>
      </c>
      <c r="B20" s="112">
        <v>59260125</v>
      </c>
      <c r="C20" s="112"/>
      <c r="D20" s="113">
        <f t="shared" si="0"/>
        <v>0</v>
      </c>
      <c r="E20" s="108">
        <f t="shared" si="1"/>
        <v>0</v>
      </c>
      <c r="F20" s="119" t="s">
        <v>164</v>
      </c>
      <c r="G20" s="114">
        <f t="shared" si="3"/>
        <v>59260</v>
      </c>
      <c r="H20" s="114">
        <v>13600</v>
      </c>
      <c r="I20" s="115">
        <f t="shared" si="2"/>
        <v>0.2294971312858589</v>
      </c>
      <c r="J20" s="114">
        <f>H20-'[3]Februaris'!H20</f>
        <v>4600</v>
      </c>
    </row>
    <row r="21" spans="1:10" ht="13.5" customHeight="1">
      <c r="A21" s="119" t="s">
        <v>165</v>
      </c>
      <c r="B21" s="112">
        <v>31643057</v>
      </c>
      <c r="C21" s="112"/>
      <c r="D21" s="113"/>
      <c r="E21" s="108"/>
      <c r="F21" s="119" t="s">
        <v>165</v>
      </c>
      <c r="G21" s="114">
        <f t="shared" si="3"/>
        <v>31643</v>
      </c>
      <c r="H21" s="114">
        <v>10453</v>
      </c>
      <c r="I21" s="115">
        <f t="shared" si="2"/>
        <v>0.33034162373984766</v>
      </c>
      <c r="J21" s="114">
        <f>H21-'[3]Februaris'!H21</f>
        <v>400</v>
      </c>
    </row>
    <row r="22" spans="1:10" ht="12.75" customHeight="1">
      <c r="A22" s="120" t="s">
        <v>166</v>
      </c>
      <c r="B22" s="112">
        <v>1201200</v>
      </c>
      <c r="C22" s="112"/>
      <c r="D22" s="113">
        <f t="shared" si="0"/>
        <v>0</v>
      </c>
      <c r="E22" s="108">
        <f t="shared" si="1"/>
        <v>0</v>
      </c>
      <c r="F22" s="120" t="s">
        <v>166</v>
      </c>
      <c r="G22" s="121">
        <f t="shared" si="3"/>
        <v>1201</v>
      </c>
      <c r="H22" s="122">
        <v>200</v>
      </c>
      <c r="I22" s="123">
        <f t="shared" si="2"/>
        <v>0.16652789342214822</v>
      </c>
      <c r="J22" s="121">
        <f>H22-'[3]Februaris'!H22</f>
        <v>0</v>
      </c>
    </row>
    <row r="23" spans="1:10" ht="19.5" customHeight="1">
      <c r="A23" s="79" t="s">
        <v>167</v>
      </c>
      <c r="B23" s="108">
        <f>SUM(B10-B22)</f>
        <v>736330069</v>
      </c>
      <c r="C23" s="108">
        <f>SUM(C10-C22)</f>
        <v>0</v>
      </c>
      <c r="D23" s="109">
        <f t="shared" si="0"/>
        <v>0</v>
      </c>
      <c r="E23" s="108">
        <f t="shared" si="1"/>
        <v>0</v>
      </c>
      <c r="F23" s="79" t="s">
        <v>167</v>
      </c>
      <c r="G23" s="110">
        <f>SUM(G10-G22)</f>
        <v>736330</v>
      </c>
      <c r="H23" s="110">
        <f>SUM(H10-H22)</f>
        <v>170298</v>
      </c>
      <c r="I23" s="111">
        <f t="shared" si="2"/>
        <v>0.2312794535059009</v>
      </c>
      <c r="J23" s="110">
        <f>H23-'[3]Februaris'!H23</f>
        <v>58066</v>
      </c>
    </row>
    <row r="24" spans="1:10" ht="20.25" customHeight="1">
      <c r="A24" s="68" t="s">
        <v>168</v>
      </c>
      <c r="B24" s="108">
        <f>SUM(B25)</f>
        <v>699762222</v>
      </c>
      <c r="C24" s="108">
        <f>SUM(C25)</f>
        <v>0</v>
      </c>
      <c r="D24" s="109">
        <f t="shared" si="0"/>
        <v>0</v>
      </c>
      <c r="E24" s="108">
        <f t="shared" si="1"/>
        <v>0</v>
      </c>
      <c r="F24" s="68" t="s">
        <v>168</v>
      </c>
      <c r="G24" s="110">
        <f>SUM(G25)</f>
        <v>699762</v>
      </c>
      <c r="H24" s="110">
        <f>SUM(H25)</f>
        <v>159901</v>
      </c>
      <c r="I24" s="111">
        <f t="shared" si="2"/>
        <v>0.22850769261548926</v>
      </c>
      <c r="J24" s="110">
        <f>H24-'[3]Februaris'!H24</f>
        <v>55514</v>
      </c>
    </row>
    <row r="25" spans="1:10" ht="12.75">
      <c r="A25" s="67" t="s">
        <v>169</v>
      </c>
      <c r="B25" s="112">
        <f>SUM(B26:B30)</f>
        <v>699762222</v>
      </c>
      <c r="C25" s="112">
        <f>SUM(C26:C30)</f>
        <v>0</v>
      </c>
      <c r="D25" s="113">
        <f t="shared" si="0"/>
        <v>0</v>
      </c>
      <c r="E25" s="108">
        <f t="shared" si="1"/>
        <v>0</v>
      </c>
      <c r="F25" s="67" t="s">
        <v>169</v>
      </c>
      <c r="G25" s="114">
        <f>SUM(G26:G30)</f>
        <v>699762</v>
      </c>
      <c r="H25" s="114">
        <f>SUM(H26:H30)</f>
        <v>159901</v>
      </c>
      <c r="I25" s="115">
        <f t="shared" si="2"/>
        <v>0.22850769261548926</v>
      </c>
      <c r="J25" s="114">
        <f>H25-'[3]Februaris'!H25</f>
        <v>55514</v>
      </c>
    </row>
    <row r="26" spans="1:211" s="2" customFormat="1" ht="12.75">
      <c r="A26" s="70" t="s">
        <v>170</v>
      </c>
      <c r="B26" s="112">
        <v>473580496</v>
      </c>
      <c r="C26" s="112"/>
      <c r="D26" s="113">
        <f t="shared" si="0"/>
        <v>0</v>
      </c>
      <c r="E26" s="108">
        <f t="shared" si="1"/>
        <v>0</v>
      </c>
      <c r="F26" s="70" t="s">
        <v>170</v>
      </c>
      <c r="G26" s="114">
        <f>ROUND(B26/1000,0)+1</f>
        <v>473581</v>
      </c>
      <c r="H26" s="114">
        <v>110048</v>
      </c>
      <c r="I26" s="115">
        <f t="shared" si="2"/>
        <v>0.23237418730903478</v>
      </c>
      <c r="J26" s="114">
        <f>H26-'[3]Februaris'!H26</f>
        <v>38918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s="2" customFormat="1" ht="12.75">
      <c r="A27" s="124" t="s">
        <v>171</v>
      </c>
      <c r="B27" s="112">
        <v>56546000</v>
      </c>
      <c r="C27" s="112"/>
      <c r="D27" s="113">
        <f t="shared" si="0"/>
        <v>0</v>
      </c>
      <c r="E27" s="108">
        <f t="shared" si="1"/>
        <v>0</v>
      </c>
      <c r="F27" s="124" t="s">
        <v>171</v>
      </c>
      <c r="G27" s="114">
        <f>ROUND(B27/1000,0)</f>
        <v>56546</v>
      </c>
      <c r="H27" s="114">
        <v>10131</v>
      </c>
      <c r="I27" s="115">
        <f t="shared" si="2"/>
        <v>0.17916386658649594</v>
      </c>
      <c r="J27" s="114">
        <f>H27-'[3]Februaris'!H27</f>
        <v>3332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s="2" customFormat="1" ht="12.75">
      <c r="A28" s="124" t="s">
        <v>172</v>
      </c>
      <c r="B28" s="112">
        <v>74152400</v>
      </c>
      <c r="C28" s="112"/>
      <c r="D28" s="113">
        <f t="shared" si="0"/>
        <v>0</v>
      </c>
      <c r="E28" s="108">
        <f t="shared" si="1"/>
        <v>0</v>
      </c>
      <c r="F28" s="124" t="s">
        <v>172</v>
      </c>
      <c r="G28" s="114">
        <f>ROUND(B28/1000,0)</f>
        <v>74152</v>
      </c>
      <c r="H28" s="114">
        <v>16820</v>
      </c>
      <c r="I28" s="115">
        <f t="shared" si="2"/>
        <v>0.22683137339518827</v>
      </c>
      <c r="J28" s="114">
        <f>H28-'[3]Februaris'!H28</f>
        <v>5957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211" s="2" customFormat="1" ht="12.75">
      <c r="A29" s="119" t="s">
        <v>173</v>
      </c>
      <c r="B29" s="112">
        <v>3371252</v>
      </c>
      <c r="C29" s="112"/>
      <c r="D29" s="113">
        <f t="shared" si="0"/>
        <v>0</v>
      </c>
      <c r="E29" s="108">
        <f t="shared" si="1"/>
        <v>0</v>
      </c>
      <c r="F29" s="119" t="s">
        <v>173</v>
      </c>
      <c r="G29" s="114">
        <f>ROUND(B29/1000,0)</f>
        <v>3371</v>
      </c>
      <c r="H29" s="114">
        <v>155</v>
      </c>
      <c r="I29" s="115">
        <f t="shared" si="2"/>
        <v>0.045980421239988134</v>
      </c>
      <c r="J29" s="114">
        <f>H29-'[3]Februaris'!H29</f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</row>
    <row r="30" spans="1:211" s="2" customFormat="1" ht="12.75">
      <c r="A30" s="70" t="s">
        <v>174</v>
      </c>
      <c r="B30" s="112">
        <v>92112074</v>
      </c>
      <c r="C30" s="112"/>
      <c r="D30" s="113">
        <f t="shared" si="0"/>
        <v>0</v>
      </c>
      <c r="E30" s="108">
        <f t="shared" si="1"/>
        <v>0</v>
      </c>
      <c r="F30" s="70" t="s">
        <v>174</v>
      </c>
      <c r="G30" s="114">
        <f>ROUND(B30/1000,0)</f>
        <v>92112</v>
      </c>
      <c r="H30" s="114">
        <v>22747</v>
      </c>
      <c r="I30" s="115">
        <f t="shared" si="2"/>
        <v>0.2469493659892305</v>
      </c>
      <c r="J30" s="114">
        <f>H30-'[3]Februaris'!H30</f>
        <v>7307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</row>
    <row r="31" spans="1:211" s="2" customFormat="1" ht="12.75">
      <c r="A31" s="125" t="s">
        <v>175</v>
      </c>
      <c r="B31" s="112">
        <v>62349187</v>
      </c>
      <c r="C31" s="112"/>
      <c r="D31" s="113">
        <f t="shared" si="0"/>
        <v>0</v>
      </c>
      <c r="E31" s="108">
        <f t="shared" si="1"/>
        <v>0</v>
      </c>
      <c r="F31" s="125" t="s">
        <v>175</v>
      </c>
      <c r="G31" s="121">
        <f>ROUND(B31/1000,0)</f>
        <v>62349</v>
      </c>
      <c r="H31" s="112">
        <v>14565</v>
      </c>
      <c r="I31" s="123">
        <f t="shared" si="2"/>
        <v>0.23360438820189577</v>
      </c>
      <c r="J31" s="121">
        <f>H31-'[3]Februaris'!H31</f>
        <v>4794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</row>
    <row r="32" spans="1:10" ht="22.5" customHeight="1">
      <c r="A32" s="79" t="s">
        <v>176</v>
      </c>
      <c r="B32" s="108">
        <f>SUM(B24-B31)</f>
        <v>637413035</v>
      </c>
      <c r="C32" s="108">
        <f>SUM(C24-C31)</f>
        <v>0</v>
      </c>
      <c r="D32" s="109">
        <f t="shared" si="0"/>
        <v>0</v>
      </c>
      <c r="E32" s="108">
        <f t="shared" si="1"/>
        <v>0</v>
      </c>
      <c r="F32" s="79" t="s">
        <v>176</v>
      </c>
      <c r="G32" s="110">
        <f>SUM(G24-G31)</f>
        <v>637413</v>
      </c>
      <c r="H32" s="110">
        <f>SUM(H24-H31)</f>
        <v>145336</v>
      </c>
      <c r="I32" s="111">
        <f t="shared" si="2"/>
        <v>0.22800915575929578</v>
      </c>
      <c r="J32" s="110">
        <f>H32-'[3]Februaris'!H32</f>
        <v>50720</v>
      </c>
    </row>
    <row r="33" spans="1:10" ht="29.25" customHeight="1">
      <c r="A33" s="126" t="s">
        <v>177</v>
      </c>
      <c r="B33" s="108">
        <f>SUM(B34:B36)</f>
        <v>1439743280</v>
      </c>
      <c r="C33" s="108">
        <f>SUM(C34:C36)</f>
        <v>0</v>
      </c>
      <c r="D33" s="109">
        <f t="shared" si="0"/>
        <v>0</v>
      </c>
      <c r="E33" s="108">
        <f t="shared" si="1"/>
        <v>0</v>
      </c>
      <c r="F33" s="126" t="s">
        <v>177</v>
      </c>
      <c r="G33" s="110">
        <f>SUM(G34:G36)</f>
        <v>1439743</v>
      </c>
      <c r="H33" s="110">
        <f>SUM(H34:H36)</f>
        <v>324073</v>
      </c>
      <c r="I33" s="111">
        <f t="shared" si="2"/>
        <v>0.2250908669116641</v>
      </c>
      <c r="J33" s="110">
        <f>H33-'[3]Februaris'!H33</f>
        <v>113244</v>
      </c>
    </row>
    <row r="34" spans="1:10" ht="28.5" customHeight="1">
      <c r="A34" s="126" t="s">
        <v>178</v>
      </c>
      <c r="B34" s="108">
        <f>SUM(B46+B63)</f>
        <v>1338259956</v>
      </c>
      <c r="C34" s="108">
        <f>SUM(C46+C63)</f>
        <v>0</v>
      </c>
      <c r="D34" s="109">
        <f t="shared" si="0"/>
        <v>0</v>
      </c>
      <c r="E34" s="108">
        <f t="shared" si="1"/>
        <v>0</v>
      </c>
      <c r="F34" s="126" t="s">
        <v>178</v>
      </c>
      <c r="G34" s="110">
        <f>SUM(G46+G63)</f>
        <v>1338260</v>
      </c>
      <c r="H34" s="110">
        <f>SUM(H46+H63)</f>
        <v>311304</v>
      </c>
      <c r="I34" s="111">
        <f t="shared" si="2"/>
        <v>0.23261847473585104</v>
      </c>
      <c r="J34" s="110">
        <f>H34-'[3]Februaris'!H34</f>
        <v>109112</v>
      </c>
    </row>
    <row r="35" spans="1:10" ht="25.5" customHeight="1">
      <c r="A35" s="126" t="s">
        <v>179</v>
      </c>
      <c r="B35" s="108">
        <f>SUM(B48+B65)</f>
        <v>34787269</v>
      </c>
      <c r="C35" s="108">
        <f>SUM(C48+C65)</f>
        <v>0</v>
      </c>
      <c r="D35" s="109">
        <f t="shared" si="0"/>
        <v>0</v>
      </c>
      <c r="E35" s="108">
        <f t="shared" si="1"/>
        <v>0</v>
      </c>
      <c r="F35" s="126" t="s">
        <v>179</v>
      </c>
      <c r="G35" s="110">
        <f>SUM(G48+G65)</f>
        <v>34787</v>
      </c>
      <c r="H35" s="110">
        <f>SUM(H48+H65)</f>
        <v>4402</v>
      </c>
      <c r="I35" s="111">
        <f t="shared" si="2"/>
        <v>0.12654152413257827</v>
      </c>
      <c r="J35" s="110">
        <f>H35-'[3]Februaris'!H35</f>
        <v>1222</v>
      </c>
    </row>
    <row r="36" spans="1:10" ht="30" customHeight="1">
      <c r="A36" s="126" t="s">
        <v>180</v>
      </c>
      <c r="B36" s="108">
        <f>SUM(B51+B67)</f>
        <v>66696055</v>
      </c>
      <c r="C36" s="108">
        <f>SUM(C51+C67)</f>
        <v>0</v>
      </c>
      <c r="D36" s="109">
        <f t="shared" si="0"/>
        <v>0</v>
      </c>
      <c r="E36" s="108">
        <f t="shared" si="1"/>
        <v>0</v>
      </c>
      <c r="F36" s="126" t="s">
        <v>180</v>
      </c>
      <c r="G36" s="110">
        <f>SUM(G51+G67)</f>
        <v>66696</v>
      </c>
      <c r="H36" s="110">
        <f>SUM(H51+H67)</f>
        <v>8367</v>
      </c>
      <c r="I36" s="111">
        <f t="shared" si="2"/>
        <v>0.12544980208708167</v>
      </c>
      <c r="J36" s="110">
        <f>H36-'[3]Februaris'!H36</f>
        <v>2910</v>
      </c>
    </row>
    <row r="37" spans="1:10" ht="29.25" customHeight="1">
      <c r="A37" s="126" t="s">
        <v>181</v>
      </c>
      <c r="B37" s="108">
        <f>SUM(B9-B33)</f>
        <v>-66000176</v>
      </c>
      <c r="C37" s="108">
        <f>SUM(C9-C33)</f>
        <v>0</v>
      </c>
      <c r="D37" s="109">
        <f t="shared" si="0"/>
        <v>0</v>
      </c>
      <c r="E37" s="108">
        <f t="shared" si="1"/>
        <v>0</v>
      </c>
      <c r="F37" s="126" t="s">
        <v>181</v>
      </c>
      <c r="G37" s="110">
        <f>SUM(G9-G33)</f>
        <v>-66000</v>
      </c>
      <c r="H37" s="110">
        <f>SUM(H9-H33)</f>
        <v>-8439</v>
      </c>
      <c r="I37" s="111">
        <f t="shared" si="2"/>
        <v>0.12786363636363637</v>
      </c>
      <c r="J37" s="110">
        <f>H37-'[3]Februaris'!H37</f>
        <v>-4458</v>
      </c>
    </row>
    <row r="38" spans="1:10" ht="25.5">
      <c r="A38" s="126" t="s">
        <v>182</v>
      </c>
      <c r="B38" s="108">
        <f>SUM(B53+B69)</f>
        <v>14499012</v>
      </c>
      <c r="C38" s="108">
        <f>SUM(C53+C69)</f>
        <v>0</v>
      </c>
      <c r="D38" s="109">
        <f t="shared" si="0"/>
        <v>0</v>
      </c>
      <c r="E38" s="108">
        <f t="shared" si="1"/>
        <v>0</v>
      </c>
      <c r="F38" s="126" t="s">
        <v>182</v>
      </c>
      <c r="G38" s="110">
        <f>SUM(G53+G69)</f>
        <v>14499</v>
      </c>
      <c r="H38" s="110">
        <f>SUM(H53+H69)</f>
        <v>-3336</v>
      </c>
      <c r="I38" s="111">
        <f t="shared" si="2"/>
        <v>-0.23008483343678873</v>
      </c>
      <c r="J38" s="110">
        <f>H38-'[3]Februaris'!H38</f>
        <v>-1463</v>
      </c>
    </row>
    <row r="39" spans="1:10" ht="25.5">
      <c r="A39" s="126" t="s">
        <v>183</v>
      </c>
      <c r="B39" s="108">
        <f>SUM(B33+B38)</f>
        <v>1454242292</v>
      </c>
      <c r="C39" s="108">
        <f>SUM(C33+C38)</f>
        <v>0</v>
      </c>
      <c r="D39" s="109">
        <f t="shared" si="0"/>
        <v>0</v>
      </c>
      <c r="E39" s="108">
        <f t="shared" si="1"/>
        <v>0</v>
      </c>
      <c r="F39" s="126" t="s">
        <v>183</v>
      </c>
      <c r="G39" s="110">
        <f>SUM(G33+G38)</f>
        <v>1454242</v>
      </c>
      <c r="H39" s="110">
        <f>SUM(H33+H38)</f>
        <v>320737</v>
      </c>
      <c r="I39" s="111">
        <f t="shared" si="2"/>
        <v>0.22055270030710156</v>
      </c>
      <c r="J39" s="110">
        <f>H39-'[3]Februaris'!H39</f>
        <v>111781</v>
      </c>
    </row>
    <row r="40" spans="1:10" ht="27" customHeight="1">
      <c r="A40" s="126" t="s">
        <v>184</v>
      </c>
      <c r="B40" s="108">
        <f>IF((B37-B38=B9-B39)=TRUE,B37-B38,9)</f>
        <v>-80499188</v>
      </c>
      <c r="C40" s="110">
        <f>C37-C38</f>
        <v>0</v>
      </c>
      <c r="D40" s="109">
        <f t="shared" si="0"/>
        <v>0</v>
      </c>
      <c r="E40" s="108">
        <f t="shared" si="1"/>
        <v>0</v>
      </c>
      <c r="F40" s="126" t="s">
        <v>184</v>
      </c>
      <c r="G40" s="110">
        <f>IF((G37-G38=G9-G39)=TRUE,G37-G38,9)</f>
        <v>-80499</v>
      </c>
      <c r="H40" s="110">
        <f>IF((H37-H38=H9-H39)=TRUE,H37-H38,9)</f>
        <v>-5103</v>
      </c>
      <c r="I40" s="111">
        <f t="shared" si="2"/>
        <v>0.06339209182722767</v>
      </c>
      <c r="J40" s="110">
        <f>H40-'[3]Februaris'!H40</f>
        <v>-2995</v>
      </c>
    </row>
    <row r="41" spans="1:10" ht="15.75" customHeight="1">
      <c r="A41" s="79" t="s">
        <v>185</v>
      </c>
      <c r="B41" s="108">
        <f>B44+B47+B49</f>
        <v>759846889</v>
      </c>
      <c r="C41" s="108">
        <f>C44+C47+C49</f>
        <v>0</v>
      </c>
      <c r="D41" s="109">
        <f t="shared" si="0"/>
        <v>0</v>
      </c>
      <c r="E41" s="108">
        <f t="shared" si="1"/>
        <v>0</v>
      </c>
      <c r="F41" s="79" t="s">
        <v>185</v>
      </c>
      <c r="G41" s="110">
        <f>G44+G47+G49</f>
        <v>759847</v>
      </c>
      <c r="H41" s="110">
        <f>H44+H47+H49</f>
        <v>161145</v>
      </c>
      <c r="I41" s="111">
        <f t="shared" si="2"/>
        <v>0.2120755889014499</v>
      </c>
      <c r="J41" s="110">
        <f>H41-'[3]Februaris'!H41</f>
        <v>57287</v>
      </c>
    </row>
    <row r="42" spans="1:10" ht="12.75">
      <c r="A42" s="127" t="s">
        <v>186</v>
      </c>
      <c r="B42" s="112">
        <f>B45+B50</f>
        <v>62349187</v>
      </c>
      <c r="C42" s="112">
        <f>C45+C50</f>
        <v>0</v>
      </c>
      <c r="D42" s="113">
        <f t="shared" si="0"/>
        <v>0</v>
      </c>
      <c r="E42" s="108">
        <f t="shared" si="1"/>
        <v>0</v>
      </c>
      <c r="F42" s="127" t="s">
        <v>186</v>
      </c>
      <c r="G42" s="121">
        <f>G45+G50</f>
        <v>62349</v>
      </c>
      <c r="H42" s="121">
        <f>H45+H50</f>
        <v>14565</v>
      </c>
      <c r="I42" s="123">
        <f t="shared" si="2"/>
        <v>0.23360438820189577</v>
      </c>
      <c r="J42" s="121">
        <f>H42-'[3]Februaris'!H42</f>
        <v>4794</v>
      </c>
    </row>
    <row r="43" spans="1:10" ht="20.25" customHeight="1">
      <c r="A43" s="79" t="s">
        <v>187</v>
      </c>
      <c r="B43" s="108">
        <f>SUM(B41-B42)</f>
        <v>697497702</v>
      </c>
      <c r="C43" s="108">
        <f>SUM(C41-C42)</f>
        <v>0</v>
      </c>
      <c r="D43" s="109">
        <f t="shared" si="0"/>
        <v>0</v>
      </c>
      <c r="E43" s="108">
        <f t="shared" si="1"/>
        <v>0</v>
      </c>
      <c r="F43" s="79" t="s">
        <v>187</v>
      </c>
      <c r="G43" s="110">
        <f>SUM(G41-G42)</f>
        <v>697498</v>
      </c>
      <c r="H43" s="110">
        <f>SUM(H41-H42)</f>
        <v>146580</v>
      </c>
      <c r="I43" s="111">
        <f t="shared" si="2"/>
        <v>0.2101511402183232</v>
      </c>
      <c r="J43" s="110">
        <f>H43-'[3]Februaris'!H43</f>
        <v>52493</v>
      </c>
    </row>
    <row r="44" spans="1:10" ht="12.75">
      <c r="A44" s="67" t="s">
        <v>188</v>
      </c>
      <c r="B44" s="112">
        <v>694317503</v>
      </c>
      <c r="C44" s="112"/>
      <c r="D44" s="113">
        <f t="shared" si="0"/>
        <v>0</v>
      </c>
      <c r="E44" s="108">
        <f t="shared" si="1"/>
        <v>0</v>
      </c>
      <c r="F44" s="67" t="s">
        <v>188</v>
      </c>
      <c r="G44" s="112">
        <f>ROUND(B44/1000,0)-1</f>
        <v>694317</v>
      </c>
      <c r="H44" s="112">
        <v>154566</v>
      </c>
      <c r="I44" s="117">
        <f t="shared" si="2"/>
        <v>0.22261589446895294</v>
      </c>
      <c r="J44" s="112">
        <f>H44-'[3]Februaris'!H44</f>
        <v>54777</v>
      </c>
    </row>
    <row r="45" spans="1:10" ht="12.75">
      <c r="A45" s="125" t="s">
        <v>189</v>
      </c>
      <c r="B45" s="112">
        <v>60907187</v>
      </c>
      <c r="C45" s="112"/>
      <c r="D45" s="113">
        <f t="shared" si="0"/>
        <v>0</v>
      </c>
      <c r="E45" s="108">
        <f t="shared" si="1"/>
        <v>0</v>
      </c>
      <c r="F45" s="125" t="s">
        <v>189</v>
      </c>
      <c r="G45" s="121">
        <f>ROUND(B45/1000,0)</f>
        <v>60907</v>
      </c>
      <c r="H45" s="121">
        <v>14477</v>
      </c>
      <c r="I45" s="123">
        <f t="shared" si="2"/>
        <v>0.2376902490682516</v>
      </c>
      <c r="J45" s="121">
        <f>H45-'[3]Februaris'!H45</f>
        <v>4769</v>
      </c>
    </row>
    <row r="46" spans="1:10" ht="15" customHeight="1">
      <c r="A46" s="79" t="s">
        <v>190</v>
      </c>
      <c r="B46" s="108">
        <f>SUM(B44-B45)</f>
        <v>633410316</v>
      </c>
      <c r="C46" s="108">
        <f>SUM(C44-C45)</f>
        <v>0</v>
      </c>
      <c r="D46" s="109">
        <f t="shared" si="0"/>
        <v>0</v>
      </c>
      <c r="E46" s="108">
        <f t="shared" si="1"/>
        <v>0</v>
      </c>
      <c r="F46" s="79" t="s">
        <v>190</v>
      </c>
      <c r="G46" s="110">
        <f>SUM(G44-G45)</f>
        <v>633410</v>
      </c>
      <c r="H46" s="110">
        <f>SUM(H44-H45)</f>
        <v>140089</v>
      </c>
      <c r="I46" s="111">
        <f t="shared" si="2"/>
        <v>0.22116638512180103</v>
      </c>
      <c r="J46" s="110">
        <f>H46-'[3]Februaris'!H46</f>
        <v>50008</v>
      </c>
    </row>
    <row r="47" spans="1:10" ht="15.75" customHeight="1">
      <c r="A47" s="67" t="s">
        <v>191</v>
      </c>
      <c r="B47" s="112">
        <v>24236583</v>
      </c>
      <c r="C47" s="112"/>
      <c r="D47" s="113">
        <f t="shared" si="0"/>
        <v>0</v>
      </c>
      <c r="E47" s="108">
        <f t="shared" si="1"/>
        <v>0</v>
      </c>
      <c r="F47" s="67" t="s">
        <v>191</v>
      </c>
      <c r="G47" s="112">
        <f>ROUND(B47/1000,0)</f>
        <v>24237</v>
      </c>
      <c r="H47" s="112">
        <v>1605</v>
      </c>
      <c r="I47" s="117">
        <f t="shared" si="2"/>
        <v>0.06622106696373313</v>
      </c>
      <c r="J47" s="112">
        <f>H47-'[3]Februaris'!H47</f>
        <v>752</v>
      </c>
    </row>
    <row r="48" spans="1:10" ht="12.75">
      <c r="A48" s="79" t="s">
        <v>192</v>
      </c>
      <c r="B48" s="108">
        <f>SUM(B47)</f>
        <v>24236583</v>
      </c>
      <c r="C48" s="108">
        <f>SUM(C47)</f>
        <v>0</v>
      </c>
      <c r="D48" s="109">
        <f t="shared" si="0"/>
        <v>0</v>
      </c>
      <c r="E48" s="108">
        <f t="shared" si="1"/>
        <v>0</v>
      </c>
      <c r="F48" s="79" t="s">
        <v>192</v>
      </c>
      <c r="G48" s="110">
        <f>SUM(G47)</f>
        <v>24237</v>
      </c>
      <c r="H48" s="110">
        <f>SUM(H47)</f>
        <v>1605</v>
      </c>
      <c r="I48" s="111">
        <f t="shared" si="2"/>
        <v>0.06622106696373313</v>
      </c>
      <c r="J48" s="110">
        <f>H48-'[3]Februaris'!H48</f>
        <v>752</v>
      </c>
    </row>
    <row r="49" spans="1:10" ht="12.75">
      <c r="A49" s="67" t="s">
        <v>193</v>
      </c>
      <c r="B49" s="112">
        <v>41292803</v>
      </c>
      <c r="C49" s="112"/>
      <c r="D49" s="113">
        <f t="shared" si="0"/>
        <v>0</v>
      </c>
      <c r="E49" s="108">
        <f t="shared" si="1"/>
        <v>0</v>
      </c>
      <c r="F49" s="67" t="s">
        <v>193</v>
      </c>
      <c r="G49" s="112">
        <f>ROUND(B49/1000,0)</f>
        <v>41293</v>
      </c>
      <c r="H49" s="112">
        <v>4974</v>
      </c>
      <c r="I49" s="117">
        <f t="shared" si="2"/>
        <v>0.1204562516649311</v>
      </c>
      <c r="J49" s="112">
        <f>H49-'[3]Februaris'!H49</f>
        <v>1758</v>
      </c>
    </row>
    <row r="50" spans="1:211" s="67" customFormat="1" ht="12.75">
      <c r="A50" s="125" t="s">
        <v>194</v>
      </c>
      <c r="B50" s="112">
        <v>1442000</v>
      </c>
      <c r="C50" s="112"/>
      <c r="D50" s="113">
        <f t="shared" si="0"/>
        <v>0</v>
      </c>
      <c r="E50" s="108">
        <f t="shared" si="1"/>
        <v>0</v>
      </c>
      <c r="F50" s="125" t="s">
        <v>194</v>
      </c>
      <c r="G50" s="121">
        <f>ROUND(B50/1000,0)</f>
        <v>1442</v>
      </c>
      <c r="H50" s="121">
        <v>88</v>
      </c>
      <c r="I50" s="123">
        <f t="shared" si="2"/>
        <v>0.06102635228848821</v>
      </c>
      <c r="J50" s="121">
        <f>H50-'[3]Februaris'!H50</f>
        <v>25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</row>
    <row r="51" spans="1:211" s="67" customFormat="1" ht="17.25" customHeight="1">
      <c r="A51" s="79" t="s">
        <v>195</v>
      </c>
      <c r="B51" s="108">
        <f>SUM(B49-B50)</f>
        <v>39850803</v>
      </c>
      <c r="C51" s="108">
        <f>SUM(C49-C50)</f>
        <v>0</v>
      </c>
      <c r="D51" s="109">
        <f t="shared" si="0"/>
        <v>0</v>
      </c>
      <c r="E51" s="108">
        <f t="shared" si="1"/>
        <v>0</v>
      </c>
      <c r="F51" s="79" t="s">
        <v>195</v>
      </c>
      <c r="G51" s="110">
        <f>SUM(G49-G50)</f>
        <v>39851</v>
      </c>
      <c r="H51" s="110">
        <f>SUM(H49-H50)</f>
        <v>4886</v>
      </c>
      <c r="I51" s="111">
        <f t="shared" si="2"/>
        <v>0.12260670999473038</v>
      </c>
      <c r="J51" s="110">
        <f>H51-'[3]Februaris'!H51</f>
        <v>1733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</row>
    <row r="52" spans="1:211" s="67" customFormat="1" ht="30" customHeight="1">
      <c r="A52" s="126" t="s">
        <v>196</v>
      </c>
      <c r="B52" s="108">
        <f>SUM(B10-B41)</f>
        <v>-22315620</v>
      </c>
      <c r="C52" s="108">
        <f>SUM(C10-C41)</f>
        <v>0</v>
      </c>
      <c r="D52" s="109">
        <f t="shared" si="0"/>
        <v>0</v>
      </c>
      <c r="E52" s="108">
        <f t="shared" si="1"/>
        <v>0</v>
      </c>
      <c r="F52" s="126" t="s">
        <v>196</v>
      </c>
      <c r="G52" s="110">
        <f>SUM(G10-G41)</f>
        <v>-22316</v>
      </c>
      <c r="H52" s="110">
        <f>SUM(H10-H41)</f>
        <v>9353</v>
      </c>
      <c r="I52" s="111">
        <f t="shared" si="2"/>
        <v>-0.419116329091235</v>
      </c>
      <c r="J52" s="110">
        <f>H52-'[3]Februaris'!H52</f>
        <v>779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</row>
    <row r="53" spans="1:211" s="67" customFormat="1" ht="17.25" customHeight="1">
      <c r="A53" s="79" t="s">
        <v>197</v>
      </c>
      <c r="B53" s="108">
        <f>B56</f>
        <v>7759392</v>
      </c>
      <c r="C53" s="108"/>
      <c r="D53" s="109">
        <f t="shared" si="0"/>
        <v>0</v>
      </c>
      <c r="E53" s="108">
        <f t="shared" si="1"/>
        <v>0</v>
      </c>
      <c r="F53" s="79" t="s">
        <v>197</v>
      </c>
      <c r="G53" s="110">
        <f>G56</f>
        <v>7759</v>
      </c>
      <c r="H53" s="110">
        <f>H56</f>
        <v>-4428</v>
      </c>
      <c r="I53" s="111">
        <f t="shared" si="2"/>
        <v>-0.5706920994973579</v>
      </c>
      <c r="J53" s="110">
        <f>H53-'[3]Februaris'!H53</f>
        <v>-1892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</row>
    <row r="54" spans="1:211" s="67" customFormat="1" ht="16.5" customHeight="1">
      <c r="A54" s="67" t="s">
        <v>198</v>
      </c>
      <c r="B54" s="112">
        <v>55987963</v>
      </c>
      <c r="C54" s="112"/>
      <c r="D54" s="113">
        <f t="shared" si="0"/>
        <v>0</v>
      </c>
      <c r="E54" s="108">
        <f t="shared" si="1"/>
        <v>0</v>
      </c>
      <c r="F54" s="67" t="s">
        <v>199</v>
      </c>
      <c r="G54" s="114">
        <f>ROUND(B54/1000,0)</f>
        <v>55988</v>
      </c>
      <c r="H54" s="128">
        <v>18457</v>
      </c>
      <c r="I54" s="115">
        <f t="shared" si="2"/>
        <v>0.32965992712724157</v>
      </c>
      <c r="J54" s="114">
        <f>H54-'[3]Februaris'!H54</f>
        <v>4102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</row>
    <row r="55" spans="1:211" s="67" customFormat="1" ht="12.75" customHeight="1">
      <c r="A55" s="125" t="s">
        <v>194</v>
      </c>
      <c r="B55" s="112">
        <v>48228571</v>
      </c>
      <c r="C55" s="112"/>
      <c r="D55" s="113">
        <f t="shared" si="0"/>
        <v>0</v>
      </c>
      <c r="E55" s="108">
        <f t="shared" si="1"/>
        <v>0</v>
      </c>
      <c r="F55" s="125" t="s">
        <v>194</v>
      </c>
      <c r="G55" s="121">
        <f>ROUND(B55/1000,0)</f>
        <v>48229</v>
      </c>
      <c r="H55" s="121">
        <v>22885</v>
      </c>
      <c r="I55" s="123">
        <f t="shared" si="2"/>
        <v>0.4745070393331813</v>
      </c>
      <c r="J55" s="121">
        <f>H55-'[3]Februaris'!H55</f>
        <v>5994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</row>
    <row r="56" spans="1:211" s="67" customFormat="1" ht="15" customHeight="1">
      <c r="A56" s="67" t="s">
        <v>200</v>
      </c>
      <c r="B56" s="112">
        <f>B54-B55</f>
        <v>7759392</v>
      </c>
      <c r="C56" s="112"/>
      <c r="D56" s="113">
        <f t="shared" si="0"/>
        <v>0</v>
      </c>
      <c r="E56" s="108">
        <f t="shared" si="1"/>
        <v>0</v>
      </c>
      <c r="F56" s="67" t="s">
        <v>200</v>
      </c>
      <c r="G56" s="114">
        <f>G54-G55</f>
        <v>7759</v>
      </c>
      <c r="H56" s="114">
        <f>SUM(H54-H55)</f>
        <v>-4428</v>
      </c>
      <c r="I56" s="115">
        <f t="shared" si="2"/>
        <v>-0.5706920994973579</v>
      </c>
      <c r="J56" s="114">
        <f>H56-'[3]Februaris'!H56</f>
        <v>-1892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s="67" customFormat="1" ht="32.25" customHeight="1">
      <c r="A57" s="126" t="s">
        <v>201</v>
      </c>
      <c r="B57" s="108">
        <f>B52-B54</f>
        <v>-78303583</v>
      </c>
      <c r="C57" s="108">
        <f>C52-C54</f>
        <v>0</v>
      </c>
      <c r="D57" s="109">
        <f t="shared" si="0"/>
        <v>0</v>
      </c>
      <c r="E57" s="108">
        <f t="shared" si="1"/>
        <v>0</v>
      </c>
      <c r="F57" s="126" t="s">
        <v>202</v>
      </c>
      <c r="G57" s="110">
        <f>G52-G54</f>
        <v>-78304</v>
      </c>
      <c r="H57" s="110">
        <f>H52-H54</f>
        <v>-9104</v>
      </c>
      <c r="I57" s="111">
        <f t="shared" si="2"/>
        <v>0.11626481405803024</v>
      </c>
      <c r="J57" s="110">
        <f>H57-'[3]Februaris'!H57</f>
        <v>-3323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s="67" customFormat="1" ht="17.25" customHeight="1">
      <c r="A58" s="79" t="s">
        <v>203</v>
      </c>
      <c r="B58" s="108">
        <v>743446778</v>
      </c>
      <c r="C58" s="108">
        <f>C61+C64+C66</f>
        <v>0</v>
      </c>
      <c r="D58" s="109">
        <f t="shared" si="0"/>
        <v>0</v>
      </c>
      <c r="E58" s="108">
        <f t="shared" si="1"/>
        <v>0</v>
      </c>
      <c r="F58" s="79" t="s">
        <v>203</v>
      </c>
      <c r="G58" s="110">
        <f>G61+G64+G66</f>
        <v>743446</v>
      </c>
      <c r="H58" s="110">
        <f>H61+H64+H66</f>
        <v>177693</v>
      </c>
      <c r="I58" s="111">
        <f t="shared" si="2"/>
        <v>0.23901265189401785</v>
      </c>
      <c r="J58" s="110">
        <f>H58-'[3]Februaris'!H58</f>
        <v>60751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s="67" customFormat="1" ht="12.75" customHeight="1">
      <c r="A59" s="125" t="s">
        <v>204</v>
      </c>
      <c r="B59" s="112">
        <f>B62</f>
        <v>1201200</v>
      </c>
      <c r="C59" s="112">
        <f>C22</f>
        <v>0</v>
      </c>
      <c r="D59" s="113">
        <f t="shared" si="0"/>
        <v>0</v>
      </c>
      <c r="E59" s="108">
        <f t="shared" si="1"/>
        <v>0</v>
      </c>
      <c r="F59" s="125" t="s">
        <v>204</v>
      </c>
      <c r="G59" s="121">
        <f>G62</f>
        <v>1201</v>
      </c>
      <c r="H59" s="122">
        <v>200</v>
      </c>
      <c r="I59" s="123">
        <f t="shared" si="2"/>
        <v>0.16652789342214822</v>
      </c>
      <c r="J59" s="121">
        <f>H59-'[3]Februaris'!H59</f>
        <v>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s="67" customFormat="1" ht="19.5" customHeight="1">
      <c r="A60" s="79" t="s">
        <v>205</v>
      </c>
      <c r="B60" s="108">
        <f>SUM(B58-B59)</f>
        <v>742245578</v>
      </c>
      <c r="C60" s="108">
        <f>SUM(C58-C59)</f>
        <v>0</v>
      </c>
      <c r="D60" s="109">
        <f t="shared" si="0"/>
        <v>0</v>
      </c>
      <c r="E60" s="108">
        <f t="shared" si="1"/>
        <v>0</v>
      </c>
      <c r="F60" s="79" t="s">
        <v>205</v>
      </c>
      <c r="G60" s="110">
        <f>SUM(G58-G59)</f>
        <v>742245</v>
      </c>
      <c r="H60" s="110">
        <f>SUM(H58-H59)</f>
        <v>177493</v>
      </c>
      <c r="I60" s="111">
        <f t="shared" si="2"/>
        <v>0.23912993688067957</v>
      </c>
      <c r="J60" s="110">
        <f>H60-'[3]Februaris'!H60</f>
        <v>60751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s="67" customFormat="1" ht="15.75" customHeight="1">
      <c r="A61" s="67" t="s">
        <v>206</v>
      </c>
      <c r="B61" s="112">
        <v>706050840</v>
      </c>
      <c r="C61" s="112"/>
      <c r="D61" s="113">
        <f t="shared" si="0"/>
        <v>0</v>
      </c>
      <c r="E61" s="108">
        <f t="shared" si="1"/>
        <v>0</v>
      </c>
      <c r="F61" s="67" t="s">
        <v>206</v>
      </c>
      <c r="G61" s="114">
        <f>ROUND(B61/1000,0)</f>
        <v>706051</v>
      </c>
      <c r="H61" s="114">
        <v>171415</v>
      </c>
      <c r="I61" s="115">
        <f t="shared" si="2"/>
        <v>0.24277991249923872</v>
      </c>
      <c r="J61" s="114">
        <f>H61-'[3]Februaris'!H61</f>
        <v>59104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s="67" customFormat="1" ht="12.75" customHeight="1">
      <c r="A62" s="125" t="s">
        <v>207</v>
      </c>
      <c r="B62" s="112">
        <v>1201200</v>
      </c>
      <c r="C62" s="112">
        <f>C22</f>
        <v>0</v>
      </c>
      <c r="D62" s="113">
        <f t="shared" si="0"/>
        <v>0</v>
      </c>
      <c r="E62" s="108">
        <f t="shared" si="1"/>
        <v>0</v>
      </c>
      <c r="F62" s="125" t="s">
        <v>207</v>
      </c>
      <c r="G62" s="121">
        <f>ROUND(B62/1000,0)</f>
        <v>1201</v>
      </c>
      <c r="H62" s="122">
        <v>200</v>
      </c>
      <c r="I62" s="123">
        <f t="shared" si="2"/>
        <v>0.16652789342214822</v>
      </c>
      <c r="J62" s="121">
        <f>H62-'[3]Februaris'!H62</f>
        <v>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s="67" customFormat="1" ht="19.5" customHeight="1">
      <c r="A63" s="79" t="s">
        <v>208</v>
      </c>
      <c r="B63" s="108">
        <f>SUM(B61-B62)</f>
        <v>704849640</v>
      </c>
      <c r="C63" s="108">
        <f>SUM(C61-C62)</f>
        <v>0</v>
      </c>
      <c r="D63" s="109">
        <f t="shared" si="0"/>
        <v>0</v>
      </c>
      <c r="E63" s="108">
        <f t="shared" si="1"/>
        <v>0</v>
      </c>
      <c r="F63" s="79" t="s">
        <v>208</v>
      </c>
      <c r="G63" s="110">
        <f>SUM(G61-G62)</f>
        <v>704850</v>
      </c>
      <c r="H63" s="110">
        <f>SUM(H61-H62)</f>
        <v>171215</v>
      </c>
      <c r="I63" s="111">
        <f t="shared" si="2"/>
        <v>0.2429098389728311</v>
      </c>
      <c r="J63" s="110">
        <f>H63-'[3]Februaris'!H63</f>
        <v>59104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s="67" customFormat="1" ht="17.25" customHeight="1">
      <c r="A64" s="67" t="s">
        <v>209</v>
      </c>
      <c r="B64" s="112">
        <v>10550686</v>
      </c>
      <c r="C64" s="112"/>
      <c r="D64" s="113">
        <f t="shared" si="0"/>
        <v>0</v>
      </c>
      <c r="E64" s="108">
        <f t="shared" si="1"/>
        <v>0</v>
      </c>
      <c r="F64" s="67" t="s">
        <v>209</v>
      </c>
      <c r="G64" s="114">
        <f>ROUND(B64/1000,0)-1</f>
        <v>10550</v>
      </c>
      <c r="H64" s="114">
        <v>2797</v>
      </c>
      <c r="I64" s="115">
        <f t="shared" si="2"/>
        <v>0.26511848341232225</v>
      </c>
      <c r="J64" s="114">
        <f>H64-'[3]Februaris'!H64</f>
        <v>470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s="67" customFormat="1" ht="18.75" customHeight="1">
      <c r="A65" s="79" t="s">
        <v>210</v>
      </c>
      <c r="B65" s="108">
        <f>SUM(B64)</f>
        <v>10550686</v>
      </c>
      <c r="C65" s="108">
        <f>SUM(C64)</f>
        <v>0</v>
      </c>
      <c r="D65" s="109">
        <f t="shared" si="0"/>
        <v>0</v>
      </c>
      <c r="E65" s="108">
        <f t="shared" si="1"/>
        <v>0</v>
      </c>
      <c r="F65" s="79" t="s">
        <v>210</v>
      </c>
      <c r="G65" s="110">
        <f>SUM(G64)</f>
        <v>10550</v>
      </c>
      <c r="H65" s="110">
        <f>SUM(H64)</f>
        <v>2797</v>
      </c>
      <c r="I65" s="111">
        <f t="shared" si="2"/>
        <v>0.26511848341232225</v>
      </c>
      <c r="J65" s="110">
        <f>H65-'[3]Februaris'!H65</f>
        <v>470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s="67" customFormat="1" ht="18" customHeight="1">
      <c r="A66" s="67" t="s">
        <v>211</v>
      </c>
      <c r="B66" s="112">
        <v>26845252</v>
      </c>
      <c r="C66" s="112"/>
      <c r="D66" s="113">
        <f t="shared" si="0"/>
        <v>0</v>
      </c>
      <c r="E66" s="108">
        <f t="shared" si="1"/>
        <v>0</v>
      </c>
      <c r="F66" s="67" t="s">
        <v>211</v>
      </c>
      <c r="G66" s="114">
        <f>ROUND(B66/1000,0)</f>
        <v>26845</v>
      </c>
      <c r="H66" s="114">
        <v>3481</v>
      </c>
      <c r="I66" s="115">
        <f t="shared" si="2"/>
        <v>0.12967032967032968</v>
      </c>
      <c r="J66" s="114">
        <f>H66-'[3]Februaris'!H66</f>
        <v>1177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s="67" customFormat="1" ht="12.75">
      <c r="A67" s="79" t="s">
        <v>212</v>
      </c>
      <c r="B67" s="108">
        <f>SUM(B66)</f>
        <v>26845252</v>
      </c>
      <c r="C67" s="108">
        <f>SUM(C66)</f>
        <v>0</v>
      </c>
      <c r="D67" s="109">
        <f t="shared" si="0"/>
        <v>0</v>
      </c>
      <c r="E67" s="108">
        <f t="shared" si="1"/>
        <v>0</v>
      </c>
      <c r="F67" s="79" t="s">
        <v>212</v>
      </c>
      <c r="G67" s="110">
        <f>SUM(G66)</f>
        <v>26845</v>
      </c>
      <c r="H67" s="110">
        <f>SUM(H66)</f>
        <v>3481</v>
      </c>
      <c r="I67" s="111">
        <f t="shared" si="2"/>
        <v>0.12967032967032968</v>
      </c>
      <c r="J67" s="110">
        <f>H67-'[3]Februaris'!H67</f>
        <v>1177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s="67" customFormat="1" ht="28.5" customHeight="1">
      <c r="A68" s="126" t="s">
        <v>213</v>
      </c>
      <c r="B68" s="108">
        <f>SUM(B24-B58)</f>
        <v>-43684556</v>
      </c>
      <c r="C68" s="108">
        <f>SUM(C24-C58)</f>
        <v>0</v>
      </c>
      <c r="D68" s="109">
        <f t="shared" si="0"/>
        <v>0</v>
      </c>
      <c r="E68" s="108">
        <f t="shared" si="1"/>
        <v>0</v>
      </c>
      <c r="F68" s="126" t="s">
        <v>213</v>
      </c>
      <c r="G68" s="110">
        <f>SUM(G24-G58)</f>
        <v>-43684</v>
      </c>
      <c r="H68" s="110">
        <f>SUM(H24-H58)</f>
        <v>-17792</v>
      </c>
      <c r="I68" s="111">
        <f t="shared" si="2"/>
        <v>0.40728870982510756</v>
      </c>
      <c r="J68" s="110">
        <f>H68-'[3]Februaris'!H68</f>
        <v>-5237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s="67" customFormat="1" ht="12.75">
      <c r="A69" s="79" t="s">
        <v>214</v>
      </c>
      <c r="B69" s="108">
        <f>SUM(B70)</f>
        <v>6739620</v>
      </c>
      <c r="C69" s="108"/>
      <c r="D69" s="109">
        <f t="shared" si="0"/>
        <v>0</v>
      </c>
      <c r="E69" s="108">
        <f t="shared" si="1"/>
        <v>0</v>
      </c>
      <c r="F69" s="79" t="s">
        <v>214</v>
      </c>
      <c r="G69" s="110">
        <f>SUM(G70)</f>
        <v>6740</v>
      </c>
      <c r="H69" s="110">
        <f>SUM(H70)</f>
        <v>1092</v>
      </c>
      <c r="I69" s="111">
        <f t="shared" si="2"/>
        <v>0.16201780415430267</v>
      </c>
      <c r="J69" s="110">
        <f>H69-'[3]Februaris'!H69</f>
        <v>429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s="67" customFormat="1" ht="15.75" customHeight="1">
      <c r="A70" s="67" t="s">
        <v>215</v>
      </c>
      <c r="B70" s="112">
        <v>6739620</v>
      </c>
      <c r="C70" s="112"/>
      <c r="D70" s="113">
        <f>IF(ISERROR(C70/B70)," ",(C70/B70))</f>
        <v>0</v>
      </c>
      <c r="E70" s="108">
        <f>C70</f>
        <v>0</v>
      </c>
      <c r="F70" s="67" t="s">
        <v>215</v>
      </c>
      <c r="G70" s="112">
        <f>ROUND(B70/1000,0)</f>
        <v>6740</v>
      </c>
      <c r="H70" s="112">
        <v>1092</v>
      </c>
      <c r="I70" s="117">
        <f>IF(ISERROR(H70/G70)," ",(H70/G70))</f>
        <v>0.16201780415430267</v>
      </c>
      <c r="J70" s="112">
        <f>H70-'[3]Februaris'!H70</f>
        <v>429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s="67" customFormat="1" ht="15.75" customHeight="1">
      <c r="A71" s="67" t="s">
        <v>216</v>
      </c>
      <c r="B71" s="112">
        <f>SUM(B70)</f>
        <v>6739620</v>
      </c>
      <c r="C71" s="112">
        <f>SUM(C70)</f>
        <v>0</v>
      </c>
      <c r="D71" s="113">
        <f>IF(ISERROR(C71/B71)," ",(C71/B71))</f>
        <v>0</v>
      </c>
      <c r="E71" s="108">
        <f>C71</f>
        <v>0</v>
      </c>
      <c r="F71" s="67" t="s">
        <v>216</v>
      </c>
      <c r="G71" s="112">
        <f>SUM(G70)</f>
        <v>6740</v>
      </c>
      <c r="H71" s="112">
        <f>SUM(H70)</f>
        <v>1092</v>
      </c>
      <c r="I71" s="117">
        <f>IF(ISERROR(H71/G71)," ",(H71/G71))</f>
        <v>0.16201780415430267</v>
      </c>
      <c r="J71" s="112">
        <f>H71-'[3]Februaris'!H71</f>
        <v>429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s="67" customFormat="1" ht="30.75" customHeight="1">
      <c r="A72" s="126" t="s">
        <v>217</v>
      </c>
      <c r="B72" s="108">
        <f>SUM(B68-B69)</f>
        <v>-50424176</v>
      </c>
      <c r="C72" s="108">
        <f>SUM(C68-C69)</f>
        <v>0</v>
      </c>
      <c r="D72" s="109">
        <f>IF(ISERROR(C72/B72)," ",(C72/B72))</f>
        <v>0</v>
      </c>
      <c r="E72" s="108">
        <f>C72</f>
        <v>0</v>
      </c>
      <c r="F72" s="126" t="s">
        <v>217</v>
      </c>
      <c r="G72" s="110">
        <f>SUM(G68-G69)</f>
        <v>-50424</v>
      </c>
      <c r="H72" s="110">
        <f>SUM(H68-H69)</f>
        <v>-18884</v>
      </c>
      <c r="I72" s="111">
        <f>IF(ISERROR(H72/G72)," ",(H72/G72))</f>
        <v>0.37450420434713627</v>
      </c>
      <c r="J72" s="110">
        <f>H72-'[3]Februaris'!H72</f>
        <v>-5666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s="81" customFormat="1" ht="12.75">
      <c r="A73" s="129"/>
      <c r="B73" s="130"/>
      <c r="F73" s="129"/>
      <c r="G73" s="130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s="81" customFormat="1" ht="12.75">
      <c r="A74" s="129"/>
      <c r="B74" s="130"/>
      <c r="F74" s="131"/>
      <c r="G74" s="130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10" ht="12.75">
      <c r="A75" s="132"/>
      <c r="F75" s="132"/>
      <c r="G75" s="103"/>
      <c r="H75" s="44"/>
      <c r="I75" s="44"/>
      <c r="J75" s="44"/>
    </row>
    <row r="76" spans="1:10" ht="12.75">
      <c r="A76" s="132"/>
      <c r="F76" s="132"/>
      <c r="G76" s="103"/>
      <c r="H76" s="44"/>
      <c r="I76" s="44"/>
      <c r="J76" s="44"/>
    </row>
    <row r="77" spans="1:10" ht="12.75">
      <c r="A77" s="81"/>
      <c r="F77" s="133" t="s">
        <v>218</v>
      </c>
      <c r="G77" s="104"/>
      <c r="H77" s="134"/>
      <c r="I77" s="44"/>
      <c r="J77" s="44"/>
    </row>
    <row r="78" spans="1:10" ht="12.75">
      <c r="A78" s="133" t="s">
        <v>218</v>
      </c>
      <c r="B78" s="104"/>
      <c r="C78" s="134"/>
      <c r="D78" s="134"/>
      <c r="E78" s="134"/>
      <c r="F78" s="133"/>
      <c r="G78" s="104"/>
      <c r="H78" s="134"/>
      <c r="I78" s="134"/>
      <c r="J78" s="134"/>
    </row>
    <row r="79" spans="1:10" ht="12.75">
      <c r="A79" s="2"/>
      <c r="F79" s="2"/>
      <c r="G79" s="103"/>
      <c r="H79" s="44"/>
      <c r="I79" s="44"/>
      <c r="J79" s="44"/>
    </row>
    <row r="80" spans="1:10" ht="12.75">
      <c r="A80" s="2"/>
      <c r="C80" s="39"/>
      <c r="D80" s="39"/>
      <c r="E80" s="39"/>
      <c r="F80" s="2"/>
      <c r="G80" s="103"/>
      <c r="H80" s="39"/>
      <c r="I80" s="39"/>
      <c r="J80" s="39"/>
    </row>
    <row r="81" spans="7:10" ht="12.75">
      <c r="G81" s="103"/>
      <c r="H81" s="44"/>
      <c r="I81" s="44"/>
      <c r="J81" s="44"/>
    </row>
    <row r="82" spans="6:10" ht="12.75">
      <c r="F82" s="2" t="s">
        <v>142</v>
      </c>
      <c r="G82" s="103"/>
      <c r="H82" s="44"/>
      <c r="I82" s="44"/>
      <c r="J82" s="44"/>
    </row>
    <row r="83" spans="6:10" ht="12.75">
      <c r="F83" s="2" t="s">
        <v>101</v>
      </c>
      <c r="I83" s="44"/>
      <c r="J83" s="44"/>
    </row>
    <row r="84" spans="1:10" ht="12.75">
      <c r="A84" s="2" t="s">
        <v>142</v>
      </c>
      <c r="G84" s="104"/>
      <c r="H84" s="134"/>
      <c r="I84" s="44"/>
      <c r="J84" s="44"/>
    </row>
    <row r="85" spans="1:10" ht="12.75">
      <c r="A85" s="2" t="s">
        <v>219</v>
      </c>
      <c r="G85" s="103"/>
      <c r="H85" s="44"/>
      <c r="I85" s="44"/>
      <c r="J85" s="44"/>
    </row>
    <row r="86" spans="6:10" ht="12.75">
      <c r="F86" s="44"/>
      <c r="G86" s="103"/>
      <c r="H86" s="44"/>
      <c r="I86" s="44"/>
      <c r="J86" s="44"/>
    </row>
    <row r="87" spans="1:8" ht="15" customHeight="1">
      <c r="A87"/>
      <c r="B87"/>
      <c r="C87"/>
      <c r="D87"/>
      <c r="E87"/>
      <c r="F87" s="133"/>
      <c r="G87" s="104"/>
      <c r="H87" s="134"/>
    </row>
    <row r="88" spans="1:5" ht="16.5" customHeight="1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6" ht="12.75">
      <c r="A99"/>
      <c r="B99"/>
      <c r="C99"/>
      <c r="D99"/>
      <c r="E99"/>
      <c r="F99" s="2"/>
    </row>
    <row r="100" spans="1:6" ht="12.75">
      <c r="A100"/>
      <c r="B100"/>
      <c r="C100"/>
      <c r="D100"/>
      <c r="E100"/>
      <c r="F100" s="2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6" ht="12.75">
      <c r="A108"/>
      <c r="B108"/>
      <c r="C108"/>
      <c r="D108"/>
      <c r="E108"/>
      <c r="F108" s="2"/>
    </row>
    <row r="109" spans="1:6" ht="12.75">
      <c r="A109"/>
      <c r="B109"/>
      <c r="C109"/>
      <c r="D109"/>
      <c r="E109"/>
      <c r="F109" s="2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mergeCells count="2">
    <mergeCell ref="A4:E4"/>
    <mergeCell ref="F4:J4"/>
  </mergeCells>
  <printOptions/>
  <pageMargins left="0.75" right="0.27" top="1" bottom="0.16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1">
      <selection activeCell="C12" sqref="C12"/>
    </sheetView>
  </sheetViews>
  <sheetFormatPr defaultColWidth="9.140625" defaultRowHeight="12.75"/>
  <cols>
    <col min="1" max="1" width="64.8515625" style="430" customWidth="1"/>
    <col min="2" max="2" width="19.140625" style="430" customWidth="1"/>
    <col min="3" max="16384" width="8.00390625" style="430" customWidth="1"/>
  </cols>
  <sheetData>
    <row r="1" spans="1:4" s="438" customFormat="1" ht="12.75">
      <c r="A1" s="444" t="s">
        <v>731</v>
      </c>
      <c r="B1" s="444" t="s">
        <v>732</v>
      </c>
      <c r="D1" s="618"/>
    </row>
    <row r="2" spans="1:2" s="438" customFormat="1" ht="12.75">
      <c r="A2" s="444"/>
      <c r="B2" s="444"/>
    </row>
    <row r="3" s="474" customFormat="1" ht="12"/>
    <row r="4" s="474" customFormat="1" ht="15.75">
      <c r="A4" s="545" t="s">
        <v>733</v>
      </c>
    </row>
    <row r="5" s="474" customFormat="1" ht="15.75">
      <c r="A5" s="622" t="s">
        <v>734</v>
      </c>
    </row>
    <row r="6" spans="1:2" s="474" customFormat="1" ht="12">
      <c r="A6" s="618"/>
      <c r="B6" s="618"/>
    </row>
    <row r="7" spans="1:2" s="474" customFormat="1" ht="12">
      <c r="A7" s="623"/>
      <c r="B7" s="624" t="s">
        <v>108</v>
      </c>
    </row>
    <row r="8" spans="1:2" s="474" customFormat="1" ht="12.75">
      <c r="A8" s="625" t="s">
        <v>59</v>
      </c>
      <c r="B8" s="626" t="s">
        <v>735</v>
      </c>
    </row>
    <row r="9" spans="1:127" s="629" customFormat="1" ht="12.75">
      <c r="A9" s="627">
        <v>1</v>
      </c>
      <c r="B9" s="628">
        <v>2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  <c r="AI9" s="474"/>
      <c r="AJ9" s="474"/>
      <c r="AK9" s="474"/>
      <c r="AL9" s="474"/>
      <c r="AM9" s="474"/>
      <c r="AN9" s="474"/>
      <c r="AO9" s="474"/>
      <c r="AP9" s="474"/>
      <c r="AQ9" s="474"/>
      <c r="AR9" s="474"/>
      <c r="AS9" s="474"/>
      <c r="AT9" s="474"/>
      <c r="AU9" s="474"/>
      <c r="AV9" s="474"/>
      <c r="AW9" s="474"/>
      <c r="AX9" s="474"/>
      <c r="AY9" s="474"/>
      <c r="AZ9" s="474"/>
      <c r="BA9" s="474"/>
      <c r="BB9" s="474"/>
      <c r="BC9" s="474"/>
      <c r="BD9" s="474"/>
      <c r="BE9" s="474"/>
      <c r="BF9" s="474"/>
      <c r="BG9" s="474"/>
      <c r="BH9" s="474"/>
      <c r="BI9" s="474"/>
      <c r="BJ9" s="474"/>
      <c r="BK9" s="474"/>
      <c r="BL9" s="474"/>
      <c r="BM9" s="474"/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4"/>
      <c r="CE9" s="474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474"/>
      <c r="DJ9" s="474"/>
      <c r="DK9" s="474"/>
      <c r="DL9" s="474"/>
      <c r="DM9" s="474"/>
      <c r="DN9" s="474"/>
      <c r="DO9" s="474"/>
      <c r="DP9" s="474"/>
      <c r="DQ9" s="474"/>
      <c r="DR9" s="474"/>
      <c r="DS9" s="474"/>
      <c r="DT9" s="474"/>
      <c r="DU9" s="474"/>
      <c r="DV9" s="474"/>
      <c r="DW9" s="474"/>
    </row>
    <row r="10" spans="1:127" s="629" customFormat="1" ht="23.25" customHeight="1">
      <c r="A10" s="630" t="s">
        <v>736</v>
      </c>
      <c r="B10" s="631">
        <f>SUM(B11:B16)</f>
        <v>7933745</v>
      </c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474"/>
      <c r="R10" s="474"/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  <c r="AD10" s="474"/>
      <c r="AE10" s="474"/>
      <c r="AF10" s="474"/>
      <c r="AG10" s="474"/>
      <c r="AH10" s="474"/>
      <c r="AI10" s="474"/>
      <c r="AJ10" s="474"/>
      <c r="AK10" s="474"/>
      <c r="AL10" s="474"/>
      <c r="AM10" s="474"/>
      <c r="AN10" s="474"/>
      <c r="AO10" s="474"/>
      <c r="AP10" s="474"/>
      <c r="AQ10" s="474"/>
      <c r="AR10" s="474"/>
      <c r="AS10" s="474"/>
      <c r="AT10" s="474"/>
      <c r="AU10" s="474"/>
      <c r="AV10" s="474"/>
      <c r="AW10" s="474"/>
      <c r="AX10" s="474"/>
      <c r="AY10" s="474"/>
      <c r="AZ10" s="474"/>
      <c r="BA10" s="474"/>
      <c r="BB10" s="474"/>
      <c r="BC10" s="474"/>
      <c r="BD10" s="474"/>
      <c r="BE10" s="474"/>
      <c r="BF10" s="474"/>
      <c r="BG10" s="474"/>
      <c r="BH10" s="474"/>
      <c r="BI10" s="474"/>
      <c r="BJ10" s="474"/>
      <c r="BK10" s="474"/>
      <c r="BL10" s="474"/>
      <c r="BM10" s="474"/>
      <c r="BN10" s="474"/>
      <c r="BO10" s="474"/>
      <c r="BP10" s="474"/>
      <c r="BQ10" s="474"/>
      <c r="BR10" s="474"/>
      <c r="BS10" s="474"/>
      <c r="BT10" s="474"/>
      <c r="BU10" s="474"/>
      <c r="BV10" s="474"/>
      <c r="BW10" s="474"/>
      <c r="BX10" s="474"/>
      <c r="BY10" s="474"/>
      <c r="BZ10" s="474"/>
      <c r="CA10" s="474"/>
      <c r="CB10" s="474"/>
      <c r="CC10" s="474"/>
      <c r="CD10" s="474"/>
      <c r="CE10" s="474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474"/>
      <c r="DJ10" s="474"/>
      <c r="DK10" s="474"/>
      <c r="DL10" s="474"/>
      <c r="DM10" s="474"/>
      <c r="DN10" s="474"/>
      <c r="DO10" s="474"/>
      <c r="DP10" s="474"/>
      <c r="DQ10" s="474"/>
      <c r="DR10" s="474"/>
      <c r="DS10" s="474"/>
      <c r="DT10" s="474"/>
      <c r="DU10" s="474"/>
      <c r="DV10" s="474"/>
      <c r="DW10" s="474"/>
    </row>
    <row r="11" spans="1:127" s="629" customFormat="1" ht="23.25" customHeight="1">
      <c r="A11" s="632" t="s">
        <v>737</v>
      </c>
      <c r="B11" s="633">
        <v>9182</v>
      </c>
      <c r="C11" s="474"/>
      <c r="D11" s="474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74"/>
      <c r="R11" s="474"/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4"/>
      <c r="AK11" s="474"/>
      <c r="AL11" s="474"/>
      <c r="AM11" s="474"/>
      <c r="AN11" s="474"/>
      <c r="AO11" s="474"/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4"/>
      <c r="BG11" s="474"/>
      <c r="BH11" s="474"/>
      <c r="BI11" s="474"/>
      <c r="BJ11" s="474"/>
      <c r="BK11" s="474"/>
      <c r="BL11" s="474"/>
      <c r="BM11" s="474"/>
      <c r="BN11" s="474"/>
      <c r="BO11" s="474"/>
      <c r="BP11" s="474"/>
      <c r="BQ11" s="474"/>
      <c r="BR11" s="474"/>
      <c r="BS11" s="474"/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474"/>
      <c r="DJ11" s="474"/>
      <c r="DK11" s="474"/>
      <c r="DL11" s="474"/>
      <c r="DM11" s="474"/>
      <c r="DN11" s="474"/>
      <c r="DO11" s="474"/>
      <c r="DP11" s="474"/>
      <c r="DQ11" s="474"/>
      <c r="DR11" s="474"/>
      <c r="DS11" s="474"/>
      <c r="DT11" s="474"/>
      <c r="DU11" s="474"/>
      <c r="DV11" s="474"/>
      <c r="DW11" s="474"/>
    </row>
    <row r="12" spans="1:127" s="629" customFormat="1" ht="19.5" customHeight="1">
      <c r="A12" s="634" t="s">
        <v>738</v>
      </c>
      <c r="B12" s="635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  <c r="AU12" s="474"/>
      <c r="AV12" s="474"/>
      <c r="AW12" s="474"/>
      <c r="AX12" s="474"/>
      <c r="AY12" s="474"/>
      <c r="AZ12" s="474"/>
      <c r="BA12" s="474"/>
      <c r="BB12" s="474"/>
      <c r="BC12" s="474"/>
      <c r="BD12" s="474"/>
      <c r="BE12" s="474"/>
      <c r="BF12" s="474"/>
      <c r="BG12" s="474"/>
      <c r="BH12" s="474"/>
      <c r="BI12" s="474"/>
      <c r="BJ12" s="474"/>
      <c r="BK12" s="474"/>
      <c r="BL12" s="474"/>
      <c r="BM12" s="474"/>
      <c r="BN12" s="474"/>
      <c r="BO12" s="474"/>
      <c r="BP12" s="474"/>
      <c r="BQ12" s="474"/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4"/>
      <c r="DN12" s="474"/>
      <c r="DO12" s="474"/>
      <c r="DP12" s="474"/>
      <c r="DQ12" s="474"/>
      <c r="DR12" s="474"/>
      <c r="DS12" s="474"/>
      <c r="DT12" s="474"/>
      <c r="DU12" s="474"/>
      <c r="DV12" s="474"/>
      <c r="DW12" s="474"/>
    </row>
    <row r="13" spans="1:127" s="629" customFormat="1" ht="17.25" customHeight="1">
      <c r="A13" s="636" t="s">
        <v>739</v>
      </c>
      <c r="B13" s="637"/>
      <c r="C13" s="474"/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4"/>
      <c r="DI13" s="474"/>
      <c r="DJ13" s="474"/>
      <c r="DK13" s="474"/>
      <c r="DL13" s="474"/>
      <c r="DM13" s="474"/>
      <c r="DN13" s="474"/>
      <c r="DO13" s="474"/>
      <c r="DP13" s="474"/>
      <c r="DQ13" s="474"/>
      <c r="DR13" s="474"/>
      <c r="DS13" s="474"/>
      <c r="DT13" s="474"/>
      <c r="DU13" s="474"/>
      <c r="DV13" s="474"/>
      <c r="DW13" s="474"/>
    </row>
    <row r="14" spans="1:127" s="629" customFormat="1" ht="23.25" customHeight="1">
      <c r="A14" s="632" t="s">
        <v>740</v>
      </c>
      <c r="B14" s="633">
        <v>1863820</v>
      </c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4"/>
      <c r="BR14" s="474"/>
      <c r="BS14" s="474"/>
      <c r="BT14" s="474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4"/>
      <c r="CG14" s="474"/>
      <c r="CH14" s="474"/>
      <c r="CI14" s="474"/>
      <c r="CJ14" s="474"/>
      <c r="CK14" s="474"/>
      <c r="CL14" s="474"/>
      <c r="CM14" s="474"/>
      <c r="CN14" s="474"/>
      <c r="CO14" s="474"/>
      <c r="CP14" s="474"/>
      <c r="CQ14" s="474"/>
      <c r="CR14" s="474"/>
      <c r="CS14" s="474"/>
      <c r="CT14" s="474"/>
      <c r="CU14" s="474"/>
      <c r="CV14" s="474"/>
      <c r="CW14" s="474"/>
      <c r="CX14" s="474"/>
      <c r="CY14" s="474"/>
      <c r="CZ14" s="474"/>
      <c r="DA14" s="474"/>
      <c r="DB14" s="474"/>
      <c r="DC14" s="474"/>
      <c r="DD14" s="474"/>
      <c r="DE14" s="474"/>
      <c r="DF14" s="474"/>
      <c r="DG14" s="474"/>
      <c r="DH14" s="474"/>
      <c r="DI14" s="474"/>
      <c r="DJ14" s="474"/>
      <c r="DK14" s="474"/>
      <c r="DL14" s="474"/>
      <c r="DM14" s="474"/>
      <c r="DN14" s="474"/>
      <c r="DO14" s="474"/>
      <c r="DP14" s="474"/>
      <c r="DQ14" s="474"/>
      <c r="DR14" s="474"/>
      <c r="DS14" s="474"/>
      <c r="DT14" s="474"/>
      <c r="DU14" s="474"/>
      <c r="DV14" s="474"/>
      <c r="DW14" s="474"/>
    </row>
    <row r="15" spans="1:127" s="629" customFormat="1" ht="23.25" customHeight="1">
      <c r="A15" s="632" t="s">
        <v>741</v>
      </c>
      <c r="B15" s="633">
        <v>6060743</v>
      </c>
      <c r="C15" s="474"/>
      <c r="D15" s="474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4"/>
      <c r="BG15" s="474"/>
      <c r="BH15" s="474"/>
      <c r="BI15" s="474"/>
      <c r="BJ15" s="474"/>
      <c r="BK15" s="474"/>
      <c r="BL15" s="474"/>
      <c r="BM15" s="474"/>
      <c r="BN15" s="474"/>
      <c r="BO15" s="474"/>
      <c r="BP15" s="474"/>
      <c r="BQ15" s="474"/>
      <c r="BR15" s="474"/>
      <c r="BS15" s="474"/>
      <c r="BT15" s="474"/>
      <c r="BU15" s="474"/>
      <c r="BV15" s="474"/>
      <c r="BW15" s="474"/>
      <c r="BX15" s="474"/>
      <c r="BY15" s="474"/>
      <c r="BZ15" s="474"/>
      <c r="CA15" s="474"/>
      <c r="CB15" s="474"/>
      <c r="CC15" s="474"/>
      <c r="CD15" s="474"/>
      <c r="CE15" s="474"/>
      <c r="CF15" s="474"/>
      <c r="CG15" s="474"/>
      <c r="CH15" s="474"/>
      <c r="CI15" s="474"/>
      <c r="CJ15" s="474"/>
      <c r="CK15" s="474"/>
      <c r="CL15" s="474"/>
      <c r="CM15" s="474"/>
      <c r="CN15" s="474"/>
      <c r="CO15" s="474"/>
      <c r="CP15" s="474"/>
      <c r="CQ15" s="474"/>
      <c r="CR15" s="474"/>
      <c r="CS15" s="474"/>
      <c r="CT15" s="474"/>
      <c r="CU15" s="474"/>
      <c r="CV15" s="474"/>
      <c r="CW15" s="474"/>
      <c r="CX15" s="474"/>
      <c r="CY15" s="474"/>
      <c r="CZ15" s="474"/>
      <c r="DA15" s="474"/>
      <c r="DB15" s="474"/>
      <c r="DC15" s="474"/>
      <c r="DD15" s="474"/>
      <c r="DE15" s="474"/>
      <c r="DF15" s="474"/>
      <c r="DG15" s="474"/>
      <c r="DH15" s="474"/>
      <c r="DI15" s="474"/>
      <c r="DJ15" s="474"/>
      <c r="DK15" s="474"/>
      <c r="DL15" s="474"/>
      <c r="DM15" s="474"/>
      <c r="DN15" s="474"/>
      <c r="DO15" s="474"/>
      <c r="DP15" s="474"/>
      <c r="DQ15" s="474"/>
      <c r="DR15" s="474"/>
      <c r="DS15" s="474"/>
      <c r="DT15" s="474"/>
      <c r="DU15" s="474"/>
      <c r="DV15" s="474"/>
      <c r="DW15" s="474"/>
    </row>
    <row r="16" spans="1:127" s="629" customFormat="1" ht="23.25" customHeight="1">
      <c r="A16" s="632" t="s">
        <v>742</v>
      </c>
      <c r="B16" s="633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474"/>
      <c r="CO16" s="474"/>
      <c r="CP16" s="474"/>
      <c r="CQ16" s="474"/>
      <c r="CR16" s="474"/>
      <c r="CS16" s="474"/>
      <c r="CT16" s="474"/>
      <c r="CU16" s="474"/>
      <c r="CV16" s="474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74"/>
      <c r="DL16" s="474"/>
      <c r="DM16" s="474"/>
      <c r="DN16" s="474"/>
      <c r="DO16" s="474"/>
      <c r="DP16" s="474"/>
      <c r="DQ16" s="474"/>
      <c r="DR16" s="474"/>
      <c r="DS16" s="474"/>
      <c r="DT16" s="474"/>
      <c r="DU16" s="474"/>
      <c r="DV16" s="474"/>
      <c r="DW16" s="474"/>
    </row>
    <row r="17" spans="1:127" s="629" customFormat="1" ht="23.25" customHeight="1">
      <c r="A17" s="638" t="s">
        <v>743</v>
      </c>
      <c r="B17" s="631">
        <f>SUM(B18:B19)</f>
        <v>7869542</v>
      </c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4"/>
      <c r="DJ17" s="474"/>
      <c r="DK17" s="474"/>
      <c r="DL17" s="474"/>
      <c r="DM17" s="474"/>
      <c r="DN17" s="474"/>
      <c r="DO17" s="474"/>
      <c r="DP17" s="474"/>
      <c r="DQ17" s="474"/>
      <c r="DR17" s="474"/>
      <c r="DS17" s="474"/>
      <c r="DT17" s="474"/>
      <c r="DU17" s="474"/>
      <c r="DV17" s="474"/>
      <c r="DW17" s="474"/>
    </row>
    <row r="18" spans="1:127" s="629" customFormat="1" ht="23.25" customHeight="1">
      <c r="A18" s="632" t="s">
        <v>744</v>
      </c>
      <c r="B18" s="633">
        <v>7869542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4"/>
      <c r="AL18" s="474"/>
      <c r="AM18" s="474"/>
      <c r="AN18" s="474"/>
      <c r="AO18" s="474"/>
      <c r="AP18" s="474"/>
      <c r="AQ18" s="474"/>
      <c r="AR18" s="474"/>
      <c r="AS18" s="474"/>
      <c r="AT18" s="474"/>
      <c r="AU18" s="474"/>
      <c r="AV18" s="474"/>
      <c r="AW18" s="474"/>
      <c r="AX18" s="474"/>
      <c r="AY18" s="474"/>
      <c r="AZ18" s="474"/>
      <c r="BA18" s="474"/>
      <c r="BB18" s="474"/>
      <c r="BC18" s="474"/>
      <c r="BD18" s="474"/>
      <c r="BE18" s="474"/>
      <c r="BF18" s="474"/>
      <c r="BG18" s="474"/>
      <c r="BH18" s="474"/>
      <c r="BI18" s="474"/>
      <c r="BJ18" s="474"/>
      <c r="BK18" s="474"/>
      <c r="BL18" s="474"/>
      <c r="BM18" s="474"/>
      <c r="BN18" s="474"/>
      <c r="BO18" s="474"/>
      <c r="BP18" s="474"/>
      <c r="BQ18" s="474"/>
      <c r="BR18" s="474"/>
      <c r="BS18" s="474"/>
      <c r="BT18" s="474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4"/>
      <c r="DJ18" s="474"/>
      <c r="DK18" s="474"/>
      <c r="DL18" s="474"/>
      <c r="DM18" s="474"/>
      <c r="DN18" s="474"/>
      <c r="DO18" s="474"/>
      <c r="DP18" s="474"/>
      <c r="DQ18" s="474"/>
      <c r="DR18" s="474"/>
      <c r="DS18" s="474"/>
      <c r="DT18" s="474"/>
      <c r="DU18" s="474"/>
      <c r="DV18" s="474"/>
      <c r="DW18" s="474"/>
    </row>
    <row r="19" spans="1:127" s="629" customFormat="1" ht="23.25" customHeight="1">
      <c r="A19" s="632" t="s">
        <v>745</v>
      </c>
      <c r="B19" s="633"/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4"/>
      <c r="AN19" s="474"/>
      <c r="AO19" s="474"/>
      <c r="AP19" s="474"/>
      <c r="AQ19" s="474"/>
      <c r="AR19" s="474"/>
      <c r="AS19" s="474"/>
      <c r="AT19" s="474"/>
      <c r="AU19" s="474"/>
      <c r="AV19" s="474"/>
      <c r="AW19" s="474"/>
      <c r="AX19" s="474"/>
      <c r="AY19" s="474"/>
      <c r="AZ19" s="474"/>
      <c r="BA19" s="474"/>
      <c r="BB19" s="474"/>
      <c r="BC19" s="474"/>
      <c r="BD19" s="474"/>
      <c r="BE19" s="474"/>
      <c r="BF19" s="474"/>
      <c r="BG19" s="474"/>
      <c r="BH19" s="474"/>
      <c r="BI19" s="474"/>
      <c r="BJ19" s="474"/>
      <c r="BK19" s="474"/>
      <c r="BL19" s="474"/>
      <c r="BM19" s="474"/>
      <c r="BN19" s="474"/>
      <c r="BO19" s="474"/>
      <c r="BP19" s="474"/>
      <c r="BQ19" s="474"/>
      <c r="BR19" s="474"/>
      <c r="BS19" s="474"/>
      <c r="BT19" s="474"/>
      <c r="BU19" s="474"/>
      <c r="BV19" s="474"/>
      <c r="BW19" s="474"/>
      <c r="BX19" s="474"/>
      <c r="BY19" s="474"/>
      <c r="BZ19" s="474"/>
      <c r="CA19" s="474"/>
      <c r="CB19" s="474"/>
      <c r="CC19" s="474"/>
      <c r="CD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4"/>
      <c r="DF19" s="474"/>
      <c r="DG19" s="474"/>
      <c r="DH19" s="474"/>
      <c r="DI19" s="474"/>
      <c r="DJ19" s="474"/>
      <c r="DK19" s="474"/>
      <c r="DL19" s="474"/>
      <c r="DM19" s="474"/>
      <c r="DN19" s="474"/>
      <c r="DO19" s="474"/>
      <c r="DP19" s="474"/>
      <c r="DQ19" s="474"/>
      <c r="DR19" s="474"/>
      <c r="DS19" s="474"/>
      <c r="DT19" s="474"/>
      <c r="DU19" s="474"/>
      <c r="DV19" s="474"/>
      <c r="DW19" s="474"/>
    </row>
    <row r="20" spans="1:97" s="629" customFormat="1" ht="23.25" customHeight="1">
      <c r="A20" s="639" t="s">
        <v>746</v>
      </c>
      <c r="B20" s="640">
        <f>SUM(B10-B17)</f>
        <v>64203</v>
      </c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</row>
    <row r="21" spans="1:97" s="580" customFormat="1" ht="12.75">
      <c r="A21" s="620"/>
      <c r="B21" s="620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</row>
    <row r="22" spans="1:97" s="580" customFormat="1" ht="12.75">
      <c r="A22" s="620"/>
      <c r="B22" s="620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/>
      <c r="BX22" s="474"/>
      <c r="BY22" s="474"/>
      <c r="BZ22" s="474"/>
      <c r="CA22" s="474"/>
      <c r="CB22" s="474"/>
      <c r="CC22" s="474"/>
      <c r="CD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</row>
    <row r="23" spans="1:82" s="580" customFormat="1" ht="12.75">
      <c r="A23" s="620"/>
      <c r="B23" s="620"/>
      <c r="C23" s="474"/>
      <c r="D23" s="474"/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474"/>
      <c r="BE23" s="474"/>
      <c r="BF23" s="474"/>
      <c r="BG23" s="474"/>
      <c r="BH23" s="474"/>
      <c r="BI23" s="474"/>
      <c r="BJ23" s="474"/>
      <c r="BK23" s="474"/>
      <c r="BL23" s="474"/>
      <c r="BM23" s="474"/>
      <c r="BN23" s="474"/>
      <c r="BO23" s="474"/>
      <c r="BP23" s="474"/>
      <c r="BQ23" s="474"/>
      <c r="BR23" s="474"/>
      <c r="BS23" s="474"/>
      <c r="BT23" s="474"/>
      <c r="BU23" s="474"/>
      <c r="BV23" s="474"/>
      <c r="BW23" s="474"/>
      <c r="BX23" s="474"/>
      <c r="BY23" s="474"/>
      <c r="BZ23" s="474"/>
      <c r="CA23" s="474"/>
      <c r="CB23" s="474"/>
      <c r="CC23" s="474"/>
      <c r="CD23" s="474"/>
    </row>
    <row r="24" spans="1:82" s="580" customFormat="1" ht="12.75">
      <c r="A24" s="620"/>
      <c r="B24" s="620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4"/>
      <c r="BE24" s="474"/>
      <c r="BF24" s="474"/>
      <c r="BG24" s="474"/>
      <c r="BH24" s="474"/>
      <c r="BI24" s="474"/>
      <c r="BJ24" s="474"/>
      <c r="BK24" s="474"/>
      <c r="BL24" s="474"/>
      <c r="BM24" s="474"/>
      <c r="BN24" s="474"/>
      <c r="BO24" s="474"/>
      <c r="BP24" s="474"/>
      <c r="BQ24" s="474"/>
      <c r="BR24" s="474"/>
      <c r="BS24" s="474"/>
      <c r="BT24" s="474"/>
      <c r="BU24" s="474"/>
      <c r="BV24" s="474"/>
      <c r="BW24" s="474"/>
      <c r="BX24" s="474"/>
      <c r="BY24" s="474"/>
      <c r="BZ24" s="474"/>
      <c r="CA24" s="474"/>
      <c r="CB24" s="474"/>
      <c r="CC24" s="474"/>
      <c r="CD24" s="474"/>
    </row>
    <row r="25" spans="1:82" s="620" customFormat="1" ht="12.75">
      <c r="A25" s="580" t="s">
        <v>747</v>
      </c>
      <c r="B25" s="473" t="s">
        <v>576</v>
      </c>
      <c r="C25" s="474"/>
      <c r="D25" s="474"/>
      <c r="E25" s="474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474"/>
      <c r="AS25" s="474"/>
      <c r="AT25" s="474"/>
      <c r="AU25" s="474"/>
      <c r="AV25" s="474"/>
      <c r="AW25" s="474"/>
      <c r="AX25" s="474"/>
      <c r="AY25" s="474"/>
      <c r="AZ25" s="474"/>
      <c r="BA25" s="474"/>
      <c r="BB25" s="474"/>
      <c r="BC25" s="474"/>
      <c r="BD25" s="474"/>
      <c r="BE25" s="474"/>
      <c r="BF25" s="474"/>
      <c r="BG25" s="474"/>
      <c r="BH25" s="474"/>
      <c r="BI25" s="474"/>
      <c r="BJ25" s="474"/>
      <c r="BK25" s="474"/>
      <c r="BL25" s="474"/>
      <c r="BM25" s="474"/>
      <c r="BN25" s="474"/>
      <c r="BO25" s="474"/>
      <c r="BP25" s="474"/>
      <c r="BQ25" s="474"/>
      <c r="BR25" s="474"/>
      <c r="BS25" s="474"/>
      <c r="BT25" s="474"/>
      <c r="BU25" s="474"/>
      <c r="BV25" s="474"/>
      <c r="BW25" s="474"/>
      <c r="BX25" s="474"/>
      <c r="BY25" s="474"/>
      <c r="BZ25" s="474"/>
      <c r="CA25" s="474"/>
      <c r="CB25" s="474"/>
      <c r="CC25" s="474"/>
      <c r="CD25" s="474"/>
    </row>
    <row r="26" spans="1:82" s="620" customFormat="1" ht="12.75">
      <c r="A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4"/>
      <c r="AJ26" s="474"/>
      <c r="AK26" s="474"/>
      <c r="AL26" s="474"/>
      <c r="AM26" s="474"/>
      <c r="AN26" s="474"/>
      <c r="AO26" s="474"/>
      <c r="AP26" s="474"/>
      <c r="AQ26" s="474"/>
      <c r="AR26" s="474"/>
      <c r="AS26" s="474"/>
      <c r="AT26" s="474"/>
      <c r="AU26" s="474"/>
      <c r="AV26" s="474"/>
      <c r="AW26" s="474"/>
      <c r="AX26" s="474"/>
      <c r="AY26" s="474"/>
      <c r="AZ26" s="474"/>
      <c r="BA26" s="474"/>
      <c r="BB26" s="474"/>
      <c r="BC26" s="474"/>
      <c r="BD26" s="474"/>
      <c r="BE26" s="474"/>
      <c r="BF26" s="474"/>
      <c r="BG26" s="474"/>
      <c r="BH26" s="474"/>
      <c r="BI26" s="474"/>
      <c r="BJ26" s="474"/>
      <c r="BK26" s="474"/>
      <c r="BL26" s="474"/>
      <c r="BM26" s="474"/>
      <c r="BN26" s="474"/>
      <c r="BO26" s="474"/>
      <c r="BP26" s="474"/>
      <c r="BQ26" s="474"/>
      <c r="BR26" s="474"/>
      <c r="BS26" s="474"/>
      <c r="BT26" s="474"/>
      <c r="BU26" s="474"/>
      <c r="BV26" s="474"/>
      <c r="BW26" s="474"/>
      <c r="BX26" s="474"/>
      <c r="BY26" s="474"/>
      <c r="BZ26" s="474"/>
      <c r="CA26" s="474"/>
      <c r="CB26" s="474"/>
      <c r="CC26" s="474"/>
      <c r="CD26" s="474"/>
    </row>
    <row r="27" s="474" customFormat="1" ht="12"/>
    <row r="28" spans="1:2" s="474" customFormat="1" ht="14.25">
      <c r="A28" s="641"/>
      <c r="B28" s="642"/>
    </row>
    <row r="29" spans="1:2" s="474" customFormat="1" ht="14.25">
      <c r="A29" s="641"/>
      <c r="B29" s="642"/>
    </row>
    <row r="30" spans="1:2" s="474" customFormat="1" ht="14.25">
      <c r="A30" s="641"/>
      <c r="B30" s="643"/>
    </row>
    <row r="31" s="474" customFormat="1" ht="14.25">
      <c r="A31" s="641"/>
    </row>
    <row r="32" s="474" customFormat="1" ht="14.25">
      <c r="A32" s="641"/>
    </row>
    <row r="33" s="474" customFormat="1" ht="14.25">
      <c r="A33" s="641"/>
    </row>
    <row r="34" s="474" customFormat="1" ht="14.25">
      <c r="A34" s="641"/>
    </row>
    <row r="35" s="474" customFormat="1" ht="14.25">
      <c r="A35" s="641"/>
    </row>
    <row r="36" s="474" customFormat="1" ht="14.25">
      <c r="A36" s="641"/>
    </row>
    <row r="37" s="474" customFormat="1" ht="14.25">
      <c r="A37" s="641"/>
    </row>
    <row r="38" s="474" customFormat="1" ht="14.25">
      <c r="A38" s="641"/>
    </row>
    <row r="39" s="474" customFormat="1" ht="14.25">
      <c r="A39" s="641"/>
    </row>
    <row r="40" spans="1:82" ht="14.25">
      <c r="A40" s="641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  <c r="AD40" s="474"/>
      <c r="AE40" s="474"/>
      <c r="AF40" s="474"/>
      <c r="AG40" s="474"/>
      <c r="AH40" s="474"/>
      <c r="AI40" s="474"/>
      <c r="AJ40" s="474"/>
      <c r="AK40" s="474"/>
      <c r="AL40" s="474"/>
      <c r="AM40" s="474"/>
      <c r="AN40" s="474"/>
      <c r="AO40" s="474"/>
      <c r="AP40" s="474"/>
      <c r="AQ40" s="474"/>
      <c r="AR40" s="474"/>
      <c r="AS40" s="474"/>
      <c r="AT40" s="474"/>
      <c r="AU40" s="474"/>
      <c r="AV40" s="474"/>
      <c r="AW40" s="474"/>
      <c r="AX40" s="474"/>
      <c r="AY40" s="474"/>
      <c r="AZ40" s="474"/>
      <c r="BA40" s="474"/>
      <c r="BB40" s="474"/>
      <c r="BC40" s="474"/>
      <c r="BD40" s="474"/>
      <c r="BE40" s="474"/>
      <c r="BF40" s="474"/>
      <c r="BG40" s="474"/>
      <c r="BH40" s="474"/>
      <c r="BI40" s="474"/>
      <c r="BJ40" s="474"/>
      <c r="BK40" s="474"/>
      <c r="BL40" s="474"/>
      <c r="BM40" s="474"/>
      <c r="BN40" s="474"/>
      <c r="BO40" s="474"/>
      <c r="BP40" s="474"/>
      <c r="BQ40" s="474"/>
      <c r="BR40" s="474"/>
      <c r="BS40" s="474"/>
      <c r="BT40" s="474"/>
      <c r="BU40" s="474"/>
      <c r="BV40" s="474"/>
      <c r="BW40" s="474"/>
      <c r="BX40" s="474"/>
      <c r="BY40" s="474"/>
      <c r="BZ40" s="474"/>
      <c r="CA40" s="474"/>
      <c r="CB40" s="474"/>
      <c r="CC40" s="474"/>
      <c r="CD40" s="474"/>
    </row>
    <row r="41" spans="1:82" ht="14.25">
      <c r="A41" s="641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  <c r="AV41" s="474"/>
      <c r="AW41" s="474"/>
      <c r="AX41" s="474"/>
      <c r="AY41" s="474"/>
      <c r="AZ41" s="474"/>
      <c r="BA41" s="474"/>
      <c r="BB41" s="474"/>
      <c r="BC41" s="474"/>
      <c r="BD41" s="474"/>
      <c r="BE41" s="474"/>
      <c r="BF41" s="474"/>
      <c r="BG41" s="474"/>
      <c r="BH41" s="474"/>
      <c r="BI41" s="474"/>
      <c r="BJ41" s="474"/>
      <c r="BK41" s="474"/>
      <c r="BL41" s="474"/>
      <c r="BM41" s="474"/>
      <c r="BN41" s="474"/>
      <c r="BO41" s="474"/>
      <c r="BP41" s="474"/>
      <c r="BQ41" s="474"/>
      <c r="BR41" s="474"/>
      <c r="BS41" s="474"/>
      <c r="BT41" s="474"/>
      <c r="BU41" s="474"/>
      <c r="BV41" s="474"/>
      <c r="BW41" s="474"/>
      <c r="BX41" s="474"/>
      <c r="BY41" s="474"/>
      <c r="BZ41" s="474"/>
      <c r="CA41" s="474"/>
      <c r="CB41" s="474"/>
      <c r="CC41" s="474"/>
      <c r="CD41" s="474"/>
    </row>
    <row r="42" spans="1:82" ht="14.25">
      <c r="A42" s="641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4"/>
      <c r="AL42" s="474"/>
      <c r="AM42" s="474"/>
      <c r="AN42" s="474"/>
      <c r="AO42" s="474"/>
      <c r="AP42" s="474"/>
      <c r="AQ42" s="474"/>
      <c r="AR42" s="474"/>
      <c r="AS42" s="474"/>
      <c r="AT42" s="474"/>
      <c r="AU42" s="474"/>
      <c r="AV42" s="474"/>
      <c r="AW42" s="474"/>
      <c r="AX42" s="474"/>
      <c r="AY42" s="474"/>
      <c r="AZ42" s="474"/>
      <c r="BA42" s="474"/>
      <c r="BB42" s="474"/>
      <c r="BC42" s="474"/>
      <c r="BD42" s="474"/>
      <c r="BE42" s="474"/>
      <c r="BF42" s="474"/>
      <c r="BG42" s="474"/>
      <c r="BH42" s="474"/>
      <c r="BI42" s="474"/>
      <c r="BJ42" s="474"/>
      <c r="BK42" s="474"/>
      <c r="BL42" s="474"/>
      <c r="BM42" s="474"/>
      <c r="BN42" s="474"/>
      <c r="BO42" s="474"/>
      <c r="BP42" s="474"/>
      <c r="BQ42" s="474"/>
      <c r="BR42" s="474"/>
      <c r="BS42" s="474"/>
      <c r="BT42" s="474"/>
      <c r="BU42" s="474"/>
      <c r="BV42" s="474"/>
      <c r="BW42" s="474"/>
      <c r="BX42" s="474"/>
      <c r="BY42" s="474"/>
      <c r="BZ42" s="474"/>
      <c r="CA42" s="474"/>
      <c r="CB42" s="474"/>
      <c r="CC42" s="474"/>
      <c r="CD42" s="474"/>
    </row>
    <row r="43" spans="1:82" ht="14.25">
      <c r="A43" s="641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4"/>
      <c r="AL43" s="474"/>
      <c r="AM43" s="474"/>
      <c r="AN43" s="474"/>
      <c r="AO43" s="474"/>
      <c r="AP43" s="474"/>
      <c r="AQ43" s="474"/>
      <c r="AR43" s="474"/>
      <c r="AS43" s="474"/>
      <c r="AT43" s="474"/>
      <c r="AU43" s="474"/>
      <c r="AV43" s="474"/>
      <c r="AW43" s="474"/>
      <c r="AX43" s="474"/>
      <c r="AY43" s="474"/>
      <c r="AZ43" s="474"/>
      <c r="BA43" s="474"/>
      <c r="BB43" s="474"/>
      <c r="BC43" s="474"/>
      <c r="BD43" s="474"/>
      <c r="BE43" s="474"/>
      <c r="BF43" s="474"/>
      <c r="BG43" s="474"/>
      <c r="BH43" s="474"/>
      <c r="BI43" s="474"/>
      <c r="BJ43" s="474"/>
      <c r="BK43" s="474"/>
      <c r="BL43" s="474"/>
      <c r="BM43" s="474"/>
      <c r="BN43" s="474"/>
      <c r="BO43" s="474"/>
      <c r="BP43" s="474"/>
      <c r="BQ43" s="474"/>
      <c r="BR43" s="474"/>
      <c r="BS43" s="474"/>
      <c r="BT43" s="474"/>
      <c r="BU43" s="474"/>
      <c r="BV43" s="474"/>
      <c r="BW43" s="474"/>
      <c r="BX43" s="474"/>
      <c r="BY43" s="474"/>
      <c r="BZ43" s="474"/>
      <c r="CA43" s="474"/>
      <c r="CB43" s="474"/>
      <c r="CC43" s="474"/>
      <c r="CD43" s="474"/>
    </row>
    <row r="44" spans="1:82" ht="14.25">
      <c r="A44" s="641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  <c r="AD44" s="474"/>
      <c r="AE44" s="474"/>
      <c r="AF44" s="474"/>
      <c r="AG44" s="474"/>
      <c r="AH44" s="474"/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474"/>
      <c r="BC44" s="474"/>
      <c r="BD44" s="474"/>
      <c r="BE44" s="474"/>
      <c r="BF44" s="474"/>
      <c r="BG44" s="474"/>
      <c r="BH44" s="474"/>
      <c r="BI44" s="474"/>
      <c r="BJ44" s="474"/>
      <c r="BK44" s="474"/>
      <c r="BL44" s="474"/>
      <c r="BM44" s="474"/>
      <c r="BN44" s="474"/>
      <c r="BO44" s="474"/>
      <c r="BP44" s="474"/>
      <c r="BQ44" s="474"/>
      <c r="BR44" s="474"/>
      <c r="BS44" s="474"/>
      <c r="BT44" s="474"/>
      <c r="BU44" s="474"/>
      <c r="BV44" s="474"/>
      <c r="BW44" s="474"/>
      <c r="BX44" s="474"/>
      <c r="BY44" s="474"/>
      <c r="BZ44" s="474"/>
      <c r="CA44" s="474"/>
      <c r="CB44" s="474"/>
      <c r="CC44" s="474"/>
      <c r="CD44" s="474"/>
    </row>
    <row r="45" spans="1:82" ht="14.25">
      <c r="A45" s="641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74"/>
      <c r="AE45" s="474"/>
      <c r="AF45" s="474"/>
      <c r="AG45" s="474"/>
      <c r="AH45" s="474"/>
      <c r="AI45" s="474"/>
      <c r="AJ45" s="474"/>
      <c r="AK45" s="474"/>
      <c r="AL45" s="474"/>
      <c r="AM45" s="474"/>
      <c r="AN45" s="474"/>
      <c r="AO45" s="474"/>
      <c r="AP45" s="474"/>
      <c r="AQ45" s="474"/>
      <c r="AR45" s="474"/>
      <c r="AS45" s="474"/>
      <c r="AT45" s="474"/>
      <c r="AU45" s="474"/>
      <c r="AV45" s="474"/>
      <c r="AW45" s="474"/>
      <c r="AX45" s="474"/>
      <c r="AY45" s="474"/>
      <c r="AZ45" s="474"/>
      <c r="BA45" s="474"/>
      <c r="BB45" s="474"/>
      <c r="BC45" s="474"/>
      <c r="BD45" s="474"/>
      <c r="BE45" s="474"/>
      <c r="BF45" s="474"/>
      <c r="BG45" s="474"/>
      <c r="BH45" s="474"/>
      <c r="BI45" s="474"/>
      <c r="BJ45" s="474"/>
      <c r="BK45" s="474"/>
      <c r="BL45" s="474"/>
      <c r="BM45" s="474"/>
      <c r="BN45" s="474"/>
      <c r="BO45" s="474"/>
      <c r="BP45" s="474"/>
      <c r="BQ45" s="474"/>
      <c r="BR45" s="474"/>
      <c r="BS45" s="474"/>
      <c r="BT45" s="474"/>
      <c r="BU45" s="474"/>
      <c r="BV45" s="474"/>
      <c r="BW45" s="474"/>
      <c r="BX45" s="474"/>
      <c r="BY45" s="474"/>
      <c r="BZ45" s="474"/>
      <c r="CA45" s="474"/>
      <c r="CB45" s="474"/>
      <c r="CC45" s="474"/>
      <c r="CD45" s="474"/>
    </row>
    <row r="46" spans="1:82" ht="14.25">
      <c r="A46" s="641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474"/>
      <c r="AJ46" s="474"/>
      <c r="AK46" s="474"/>
      <c r="AL46" s="474"/>
      <c r="AM46" s="474"/>
      <c r="AN46" s="474"/>
      <c r="AO46" s="474"/>
      <c r="AP46" s="474"/>
      <c r="AQ46" s="474"/>
      <c r="AR46" s="474"/>
      <c r="AS46" s="474"/>
      <c r="AT46" s="474"/>
      <c r="AU46" s="474"/>
      <c r="AV46" s="474"/>
      <c r="AW46" s="474"/>
      <c r="AX46" s="474"/>
      <c r="AY46" s="474"/>
      <c r="AZ46" s="474"/>
      <c r="BA46" s="474"/>
      <c r="BB46" s="474"/>
      <c r="BC46" s="474"/>
      <c r="BD46" s="474"/>
      <c r="BE46" s="474"/>
      <c r="BF46" s="474"/>
      <c r="BG46" s="474"/>
      <c r="BH46" s="474"/>
      <c r="BI46" s="474"/>
      <c r="BJ46" s="474"/>
      <c r="BK46" s="474"/>
      <c r="BL46" s="474"/>
      <c r="BM46" s="474"/>
      <c r="BN46" s="474"/>
      <c r="BO46" s="474"/>
      <c r="BP46" s="474"/>
      <c r="BQ46" s="474"/>
      <c r="BR46" s="474"/>
      <c r="BS46" s="474"/>
      <c r="BT46" s="474"/>
      <c r="BU46" s="474"/>
      <c r="BV46" s="474"/>
      <c r="BW46" s="474"/>
      <c r="BX46" s="474"/>
      <c r="BY46" s="474"/>
      <c r="BZ46" s="474"/>
      <c r="CA46" s="474"/>
      <c r="CB46" s="474"/>
      <c r="CC46" s="474"/>
      <c r="CD46" s="474"/>
    </row>
    <row r="47" spans="1:82" ht="14.25">
      <c r="A47" s="641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4"/>
      <c r="AK47" s="474"/>
      <c r="AL47" s="474"/>
      <c r="AM47" s="474"/>
      <c r="AN47" s="474"/>
      <c r="AO47" s="474"/>
      <c r="AP47" s="474"/>
      <c r="AQ47" s="474"/>
      <c r="AR47" s="474"/>
      <c r="AS47" s="474"/>
      <c r="AT47" s="474"/>
      <c r="AU47" s="474"/>
      <c r="AV47" s="474"/>
      <c r="AW47" s="474"/>
      <c r="AX47" s="474"/>
      <c r="AY47" s="474"/>
      <c r="AZ47" s="474"/>
      <c r="BA47" s="474"/>
      <c r="BB47" s="474"/>
      <c r="BC47" s="474"/>
      <c r="BD47" s="474"/>
      <c r="BE47" s="474"/>
      <c r="BF47" s="474"/>
      <c r="BG47" s="474"/>
      <c r="BH47" s="474"/>
      <c r="BI47" s="474"/>
      <c r="BJ47" s="474"/>
      <c r="BK47" s="474"/>
      <c r="BL47" s="474"/>
      <c r="BM47" s="474"/>
      <c r="BN47" s="474"/>
      <c r="BO47" s="474"/>
      <c r="BP47" s="474"/>
      <c r="BQ47" s="474"/>
      <c r="BR47" s="474"/>
      <c r="BS47" s="474"/>
      <c r="BT47" s="474"/>
      <c r="BU47" s="474"/>
      <c r="BV47" s="474"/>
      <c r="BW47" s="474"/>
      <c r="BX47" s="474"/>
      <c r="BY47" s="474"/>
      <c r="BZ47" s="474"/>
      <c r="CA47" s="474"/>
      <c r="CB47" s="474"/>
      <c r="CC47" s="474"/>
      <c r="CD47" s="474"/>
    </row>
    <row r="48" spans="1:82" ht="14.25">
      <c r="A48" s="641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G48" s="474"/>
      <c r="BH48" s="474"/>
      <c r="BI48" s="474"/>
      <c r="BJ48" s="474"/>
      <c r="BK48" s="474"/>
      <c r="BL48" s="474"/>
      <c r="BM48" s="474"/>
      <c r="BN48" s="474"/>
      <c r="BO48" s="474"/>
      <c r="BP48" s="474"/>
      <c r="BQ48" s="474"/>
      <c r="BR48" s="474"/>
      <c r="BS48" s="474"/>
      <c r="BT48" s="474"/>
      <c r="BU48" s="474"/>
      <c r="BV48" s="474"/>
      <c r="BW48" s="474"/>
      <c r="BX48" s="474"/>
      <c r="BY48" s="474"/>
      <c r="BZ48" s="474"/>
      <c r="CA48" s="474"/>
      <c r="CB48" s="474"/>
      <c r="CC48" s="474"/>
      <c r="CD48" s="474"/>
    </row>
    <row r="49" spans="1:82" ht="14.25">
      <c r="A49" s="641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  <c r="AV49" s="474"/>
      <c r="AW49" s="474"/>
      <c r="AX49" s="474"/>
      <c r="AY49" s="474"/>
      <c r="AZ49" s="474"/>
      <c r="BA49" s="474"/>
      <c r="BB49" s="474"/>
      <c r="BC49" s="474"/>
      <c r="BD49" s="474"/>
      <c r="BE49" s="474"/>
      <c r="BF49" s="474"/>
      <c r="BG49" s="474"/>
      <c r="BH49" s="474"/>
      <c r="BI49" s="474"/>
      <c r="BJ49" s="474"/>
      <c r="BK49" s="474"/>
      <c r="BL49" s="474"/>
      <c r="BM49" s="474"/>
      <c r="BN49" s="474"/>
      <c r="BO49" s="474"/>
      <c r="BP49" s="474"/>
      <c r="BQ49" s="474"/>
      <c r="BR49" s="474"/>
      <c r="BS49" s="474"/>
      <c r="BT49" s="474"/>
      <c r="BU49" s="474"/>
      <c r="BV49" s="474"/>
      <c r="BW49" s="474"/>
      <c r="BX49" s="474"/>
      <c r="BY49" s="474"/>
      <c r="BZ49" s="474"/>
      <c r="CA49" s="474"/>
      <c r="CB49" s="474"/>
      <c r="CC49" s="474"/>
      <c r="CD49" s="474"/>
    </row>
    <row r="50" spans="1:82" ht="14.25">
      <c r="A50" s="641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  <c r="AV50" s="474"/>
      <c r="AW50" s="474"/>
      <c r="AX50" s="474"/>
      <c r="AY50" s="474"/>
      <c r="AZ50" s="474"/>
      <c r="BA50" s="474"/>
      <c r="BB50" s="474"/>
      <c r="BC50" s="474"/>
      <c r="BD50" s="474"/>
      <c r="BE50" s="474"/>
      <c r="BF50" s="474"/>
      <c r="BG50" s="474"/>
      <c r="BH50" s="474"/>
      <c r="BI50" s="474"/>
      <c r="BJ50" s="474"/>
      <c r="BK50" s="474"/>
      <c r="BL50" s="474"/>
      <c r="BM50" s="474"/>
      <c r="BN50" s="474"/>
      <c r="BO50" s="474"/>
      <c r="BP50" s="474"/>
      <c r="BQ50" s="474"/>
      <c r="BR50" s="474"/>
      <c r="BS50" s="474"/>
      <c r="BT50" s="474"/>
      <c r="BU50" s="474"/>
      <c r="BV50" s="474"/>
      <c r="BW50" s="474"/>
      <c r="BX50" s="474"/>
      <c r="BY50" s="474"/>
      <c r="BZ50" s="474"/>
      <c r="CA50" s="474"/>
      <c r="CB50" s="474"/>
      <c r="CC50" s="474"/>
      <c r="CD50" s="474"/>
    </row>
    <row r="51" spans="1:82" ht="14.25">
      <c r="A51" s="641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  <c r="AV51" s="474"/>
      <c r="AW51" s="474"/>
      <c r="AX51" s="474"/>
      <c r="AY51" s="474"/>
      <c r="AZ51" s="474"/>
      <c r="BA51" s="474"/>
      <c r="BB51" s="474"/>
      <c r="BC51" s="474"/>
      <c r="BD51" s="474"/>
      <c r="BE51" s="474"/>
      <c r="BF51" s="474"/>
      <c r="BG51" s="474"/>
      <c r="BH51" s="474"/>
      <c r="BI51" s="474"/>
      <c r="BJ51" s="474"/>
      <c r="BK51" s="474"/>
      <c r="BL51" s="474"/>
      <c r="BM51" s="474"/>
      <c r="BN51" s="474"/>
      <c r="BO51" s="474"/>
      <c r="BP51" s="474"/>
      <c r="BQ51" s="474"/>
      <c r="BR51" s="474"/>
      <c r="BS51" s="474"/>
      <c r="BT51" s="474"/>
      <c r="BU51" s="474"/>
      <c r="BV51" s="474"/>
      <c r="BW51" s="474"/>
      <c r="BX51" s="474"/>
      <c r="BY51" s="474"/>
      <c r="BZ51" s="474"/>
      <c r="CA51" s="474"/>
      <c r="CB51" s="474"/>
      <c r="CC51" s="474"/>
      <c r="CD51" s="474"/>
    </row>
    <row r="52" spans="1:82" ht="14.25">
      <c r="A52" s="641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4"/>
      <c r="BE52" s="474"/>
      <c r="BF52" s="474"/>
      <c r="BG52" s="474"/>
      <c r="BH52" s="474"/>
      <c r="BI52" s="474"/>
      <c r="BJ52" s="474"/>
      <c r="BK52" s="474"/>
      <c r="BL52" s="474"/>
      <c r="BM52" s="474"/>
      <c r="BN52" s="474"/>
      <c r="BO52" s="474"/>
      <c r="BP52" s="474"/>
      <c r="BQ52" s="474"/>
      <c r="BR52" s="474"/>
      <c r="BS52" s="474"/>
      <c r="BT52" s="474"/>
      <c r="BU52" s="474"/>
      <c r="BV52" s="474"/>
      <c r="BW52" s="474"/>
      <c r="BX52" s="474"/>
      <c r="BY52" s="474"/>
      <c r="BZ52" s="474"/>
      <c r="CA52" s="474"/>
      <c r="CB52" s="474"/>
      <c r="CC52" s="474"/>
      <c r="CD52" s="474"/>
    </row>
    <row r="53" spans="1:82" ht="14.25">
      <c r="A53" s="641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  <c r="AV53" s="474"/>
      <c r="AW53" s="474"/>
      <c r="AX53" s="474"/>
      <c r="AY53" s="474"/>
      <c r="AZ53" s="474"/>
      <c r="BA53" s="474"/>
      <c r="BB53" s="474"/>
      <c r="BC53" s="474"/>
      <c r="BD53" s="474"/>
      <c r="BE53" s="474"/>
      <c r="BF53" s="474"/>
      <c r="BG53" s="474"/>
      <c r="BH53" s="474"/>
      <c r="BI53" s="474"/>
      <c r="BJ53" s="474"/>
      <c r="BK53" s="474"/>
      <c r="BL53" s="474"/>
      <c r="BM53" s="474"/>
      <c r="BN53" s="474"/>
      <c r="BO53" s="474"/>
      <c r="BP53" s="474"/>
      <c r="BQ53" s="474"/>
      <c r="BR53" s="474"/>
      <c r="BS53" s="474"/>
      <c r="BT53" s="474"/>
      <c r="BU53" s="474"/>
      <c r="BV53" s="474"/>
      <c r="BW53" s="474"/>
      <c r="BX53" s="474"/>
      <c r="BY53" s="474"/>
      <c r="BZ53" s="474"/>
      <c r="CA53" s="474"/>
      <c r="CB53" s="474"/>
      <c r="CC53" s="474"/>
      <c r="CD53" s="474"/>
    </row>
    <row r="54" spans="1:82" ht="14.25">
      <c r="A54" s="641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  <c r="AV54" s="474"/>
      <c r="AW54" s="474"/>
      <c r="AX54" s="474"/>
      <c r="AY54" s="474"/>
      <c r="AZ54" s="474"/>
      <c r="BA54" s="474"/>
      <c r="BB54" s="474"/>
      <c r="BC54" s="474"/>
      <c r="BD54" s="474"/>
      <c r="BE54" s="474"/>
      <c r="BF54" s="474"/>
      <c r="BG54" s="474"/>
      <c r="BH54" s="474"/>
      <c r="BI54" s="474"/>
      <c r="BJ54" s="474"/>
      <c r="BK54" s="474"/>
      <c r="BL54" s="474"/>
      <c r="BM54" s="474"/>
      <c r="BN54" s="474"/>
      <c r="BO54" s="474"/>
      <c r="BP54" s="474"/>
      <c r="BQ54" s="474"/>
      <c r="BR54" s="474"/>
      <c r="BS54" s="474"/>
      <c r="BT54" s="474"/>
      <c r="BU54" s="474"/>
      <c r="BV54" s="474"/>
      <c r="BW54" s="474"/>
      <c r="BX54" s="474"/>
      <c r="BY54" s="474"/>
      <c r="BZ54" s="474"/>
      <c r="CA54" s="474"/>
      <c r="CB54" s="474"/>
      <c r="CC54" s="474"/>
      <c r="CD54" s="474"/>
    </row>
    <row r="55" spans="1:82" ht="14.25">
      <c r="A55" s="641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  <c r="AV55" s="474"/>
      <c r="AW55" s="474"/>
      <c r="AX55" s="474"/>
      <c r="AY55" s="474"/>
      <c r="AZ55" s="474"/>
      <c r="BA55" s="474"/>
      <c r="BB55" s="474"/>
      <c r="BC55" s="474"/>
      <c r="BD55" s="474"/>
      <c r="BE55" s="474"/>
      <c r="BF55" s="474"/>
      <c r="BG55" s="474"/>
      <c r="BH55" s="474"/>
      <c r="BI55" s="474"/>
      <c r="BJ55" s="474"/>
      <c r="BK55" s="474"/>
      <c r="BL55" s="474"/>
      <c r="BM55" s="474"/>
      <c r="BN55" s="474"/>
      <c r="BO55" s="474"/>
      <c r="BP55" s="474"/>
      <c r="BQ55" s="474"/>
      <c r="BR55" s="474"/>
      <c r="BS55" s="474"/>
      <c r="BT55" s="474"/>
      <c r="BU55" s="474"/>
      <c r="BV55" s="474"/>
      <c r="BW55" s="474"/>
      <c r="BX55" s="474"/>
      <c r="BY55" s="474"/>
      <c r="BZ55" s="474"/>
      <c r="CA55" s="474"/>
      <c r="CB55" s="474"/>
      <c r="CC55" s="474"/>
      <c r="CD55" s="474"/>
    </row>
    <row r="56" spans="1:82" ht="14.25">
      <c r="A56" s="641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74"/>
      <c r="BB56" s="474"/>
      <c r="BC56" s="474"/>
      <c r="BD56" s="474"/>
      <c r="BE56" s="474"/>
      <c r="BF56" s="474"/>
      <c r="BG56" s="474"/>
      <c r="BH56" s="474"/>
      <c r="BI56" s="474"/>
      <c r="BJ56" s="474"/>
      <c r="BK56" s="474"/>
      <c r="BL56" s="474"/>
      <c r="BM56" s="474"/>
      <c r="BN56" s="474"/>
      <c r="BO56" s="474"/>
      <c r="BP56" s="474"/>
      <c r="BQ56" s="474"/>
      <c r="BR56" s="474"/>
      <c r="BS56" s="474"/>
      <c r="BT56" s="474"/>
      <c r="BU56" s="474"/>
      <c r="BV56" s="474"/>
      <c r="BW56" s="474"/>
      <c r="BX56" s="474"/>
      <c r="BY56" s="474"/>
      <c r="BZ56" s="474"/>
      <c r="CA56" s="474"/>
      <c r="CB56" s="474"/>
      <c r="CC56" s="474"/>
      <c r="CD56" s="474"/>
    </row>
    <row r="57" spans="12:82" ht="12"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  <c r="AX57" s="474"/>
      <c r="AY57" s="474"/>
      <c r="AZ57" s="474"/>
      <c r="BA57" s="474"/>
      <c r="BB57" s="474"/>
      <c r="BC57" s="474"/>
      <c r="BD57" s="474"/>
      <c r="BE57" s="474"/>
      <c r="BF57" s="474"/>
      <c r="BG57" s="474"/>
      <c r="BH57" s="474"/>
      <c r="BI57" s="474"/>
      <c r="BJ57" s="474"/>
      <c r="BK57" s="474"/>
      <c r="BL57" s="474"/>
      <c r="BM57" s="474"/>
      <c r="BN57" s="474"/>
      <c r="BO57" s="474"/>
      <c r="BP57" s="474"/>
      <c r="BQ57" s="474"/>
      <c r="BR57" s="474"/>
      <c r="BS57" s="474"/>
      <c r="BT57" s="474"/>
      <c r="BU57" s="474"/>
      <c r="BV57" s="474"/>
      <c r="BW57" s="474"/>
      <c r="BX57" s="474"/>
      <c r="BY57" s="474"/>
      <c r="BZ57" s="474"/>
      <c r="CA57" s="474"/>
      <c r="CB57" s="474"/>
      <c r="CC57" s="474"/>
      <c r="CD57" s="474"/>
    </row>
    <row r="58" spans="12:82" ht="12"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  <c r="CA58" s="474"/>
      <c r="CB58" s="474"/>
      <c r="CC58" s="474"/>
      <c r="CD58" s="474"/>
    </row>
    <row r="59" spans="12:82" ht="12"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  <c r="AV59" s="474"/>
      <c r="AW59" s="474"/>
      <c r="AX59" s="474"/>
      <c r="AY59" s="474"/>
      <c r="AZ59" s="474"/>
      <c r="BA59" s="474"/>
      <c r="BB59" s="474"/>
      <c r="BC59" s="474"/>
      <c r="BD59" s="474"/>
      <c r="BE59" s="474"/>
      <c r="BF59" s="474"/>
      <c r="BG59" s="474"/>
      <c r="BH59" s="474"/>
      <c r="BI59" s="474"/>
      <c r="BJ59" s="474"/>
      <c r="BK59" s="474"/>
      <c r="BL59" s="474"/>
      <c r="BM59" s="474"/>
      <c r="BN59" s="474"/>
      <c r="BO59" s="474"/>
      <c r="BP59" s="474"/>
      <c r="BQ59" s="474"/>
      <c r="BR59" s="474"/>
      <c r="BS59" s="474"/>
      <c r="BT59" s="474"/>
      <c r="BU59" s="474"/>
      <c r="BV59" s="474"/>
      <c r="BW59" s="474"/>
      <c r="BX59" s="474"/>
      <c r="BY59" s="474"/>
      <c r="BZ59" s="474"/>
      <c r="CA59" s="474"/>
      <c r="CB59" s="474"/>
      <c r="CC59" s="474"/>
      <c r="CD59" s="474"/>
    </row>
    <row r="60" spans="12:82" ht="12"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  <c r="AV60" s="474"/>
      <c r="AW60" s="474"/>
      <c r="AX60" s="474"/>
      <c r="AY60" s="474"/>
      <c r="AZ60" s="474"/>
      <c r="BA60" s="474"/>
      <c r="BB60" s="474"/>
      <c r="BC60" s="474"/>
      <c r="BD60" s="474"/>
      <c r="BE60" s="474"/>
      <c r="BF60" s="474"/>
      <c r="BG60" s="474"/>
      <c r="BH60" s="474"/>
      <c r="BI60" s="474"/>
      <c r="BJ60" s="474"/>
      <c r="BK60" s="474"/>
      <c r="BL60" s="474"/>
      <c r="BM60" s="474"/>
      <c r="BN60" s="474"/>
      <c r="BO60" s="474"/>
      <c r="BP60" s="474"/>
      <c r="BQ60" s="474"/>
      <c r="BR60" s="474"/>
      <c r="BS60" s="474"/>
      <c r="BT60" s="474"/>
      <c r="BU60" s="474"/>
      <c r="BV60" s="474"/>
      <c r="BW60" s="474"/>
      <c r="BX60" s="474"/>
      <c r="BY60" s="474"/>
      <c r="BZ60" s="474"/>
      <c r="CA60" s="474"/>
      <c r="CB60" s="474"/>
      <c r="CC60" s="474"/>
      <c r="CD60" s="474"/>
    </row>
    <row r="61" spans="12:82" ht="12"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474"/>
      <c r="AP61" s="474"/>
      <c r="AQ61" s="474"/>
      <c r="AR61" s="474"/>
      <c r="AS61" s="474"/>
      <c r="AT61" s="474"/>
      <c r="AU61" s="474"/>
      <c r="AV61" s="474"/>
      <c r="AW61" s="474"/>
      <c r="AX61" s="474"/>
      <c r="AY61" s="474"/>
      <c r="AZ61" s="474"/>
      <c r="BA61" s="474"/>
      <c r="BB61" s="474"/>
      <c r="BC61" s="474"/>
      <c r="BD61" s="474"/>
      <c r="BE61" s="474"/>
      <c r="BF61" s="474"/>
      <c r="BG61" s="474"/>
      <c r="BH61" s="474"/>
      <c r="BI61" s="474"/>
      <c r="BJ61" s="474"/>
      <c r="BK61" s="474"/>
      <c r="BL61" s="474"/>
      <c r="BM61" s="474"/>
      <c r="BN61" s="474"/>
      <c r="BO61" s="474"/>
      <c r="BP61" s="474"/>
      <c r="BQ61" s="474"/>
      <c r="BR61" s="474"/>
      <c r="BS61" s="474"/>
      <c r="BT61" s="474"/>
      <c r="BU61" s="474"/>
      <c r="BV61" s="474"/>
      <c r="BW61" s="474"/>
      <c r="BX61" s="474"/>
      <c r="BY61" s="474"/>
      <c r="BZ61" s="474"/>
      <c r="CA61" s="474"/>
      <c r="CB61" s="474"/>
      <c r="CC61" s="474"/>
      <c r="CD61" s="474"/>
    </row>
    <row r="62" spans="12:82" ht="12"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4"/>
      <c r="BJ62" s="474"/>
      <c r="BK62" s="474"/>
      <c r="BL62" s="474"/>
      <c r="BM62" s="474"/>
      <c r="BN62" s="474"/>
      <c r="BO62" s="474"/>
      <c r="BP62" s="474"/>
      <c r="BQ62" s="474"/>
      <c r="BR62" s="474"/>
      <c r="BS62" s="474"/>
      <c r="BT62" s="474"/>
      <c r="BU62" s="474"/>
      <c r="BV62" s="474"/>
      <c r="BW62" s="474"/>
      <c r="BX62" s="474"/>
      <c r="BY62" s="474"/>
      <c r="BZ62" s="474"/>
      <c r="CA62" s="474"/>
      <c r="CB62" s="474"/>
      <c r="CC62" s="474"/>
      <c r="CD62" s="474"/>
    </row>
  </sheetData>
  <printOptions/>
  <pageMargins left="1.33" right="0.53" top="1.98" bottom="0.984251968503937" header="0.5118110236220472" footer="0.5118110236220472"/>
  <pageSetup firstPageNumber="35" useFirstPageNumber="1" horizontalDpi="300" verticalDpi="300" orientation="portrait" paperSize="9" r:id="rId1"/>
  <headerFooter alignWithMargins="0">
    <oddFooter>&amp;L&amp;"Arial,Regular"&amp;8Valsts kase / Pārskatu departaments
15.04.00.
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J63"/>
  <sheetViews>
    <sheetView tabSelected="1" workbookViewId="0" topLeftCell="B1">
      <selection activeCell="C12" sqref="C12"/>
    </sheetView>
  </sheetViews>
  <sheetFormatPr defaultColWidth="9.140625" defaultRowHeight="12.75"/>
  <cols>
    <col min="1" max="1" width="24.7109375" style="430" customWidth="1"/>
    <col min="2" max="3" width="13.140625" style="430" customWidth="1"/>
    <col min="4" max="4" width="14.00390625" style="430" customWidth="1"/>
    <col min="5" max="5" width="16.57421875" style="430" customWidth="1"/>
    <col min="6" max="6" width="9.7109375" style="430" customWidth="1"/>
    <col min="7" max="8" width="8.8515625" style="430" customWidth="1"/>
    <col min="9" max="9" width="14.8515625" style="430" customWidth="1"/>
    <col min="10" max="16384" width="8.00390625" style="430" customWidth="1"/>
  </cols>
  <sheetData>
    <row r="1" spans="1:10" ht="12.75" customHeight="1">
      <c r="A1" s="444" t="s">
        <v>748</v>
      </c>
      <c r="B1" s="444"/>
      <c r="C1" s="444"/>
      <c r="D1" s="444"/>
      <c r="E1" s="444"/>
      <c r="F1" s="444"/>
      <c r="G1" s="444"/>
      <c r="H1" s="444"/>
      <c r="I1" s="644" t="s">
        <v>749</v>
      </c>
      <c r="J1" s="525"/>
    </row>
    <row r="2" spans="1:9" ht="12">
      <c r="A2" s="474"/>
      <c r="B2" s="474"/>
      <c r="C2" s="474"/>
      <c r="D2" s="474"/>
      <c r="E2" s="474"/>
      <c r="F2" s="474"/>
      <c r="G2" s="474"/>
      <c r="H2" s="474"/>
      <c r="I2" s="474"/>
    </row>
    <row r="3" spans="1:9" ht="12">
      <c r="A3" s="474"/>
      <c r="B3" s="474"/>
      <c r="C3" s="474"/>
      <c r="D3" s="474"/>
      <c r="E3" s="474"/>
      <c r="F3" s="474"/>
      <c r="G3" s="474"/>
      <c r="H3" s="474"/>
      <c r="I3" s="474"/>
    </row>
    <row r="4" spans="1:9" ht="15.75">
      <c r="A4" s="543" t="s">
        <v>750</v>
      </c>
      <c r="B4" s="541"/>
      <c r="C4" s="541"/>
      <c r="D4" s="541"/>
      <c r="E4" s="541"/>
      <c r="F4" s="541"/>
      <c r="G4" s="541"/>
      <c r="H4" s="541"/>
      <c r="I4" s="541"/>
    </row>
    <row r="5" spans="1:9" ht="15.75">
      <c r="A5" s="543" t="s">
        <v>751</v>
      </c>
      <c r="B5" s="437"/>
      <c r="C5" s="543"/>
      <c r="D5" s="543"/>
      <c r="E5" s="543"/>
      <c r="F5" s="434"/>
      <c r="G5" s="434"/>
      <c r="H5" s="434"/>
      <c r="I5" s="434"/>
    </row>
    <row r="6" spans="1:9" ht="15.75">
      <c r="A6" s="545"/>
      <c r="B6" s="474"/>
      <c r="C6" s="474"/>
      <c r="D6" s="474"/>
      <c r="E6" s="474"/>
      <c r="F6" s="474"/>
      <c r="G6" s="474"/>
      <c r="H6" s="474"/>
      <c r="I6" s="474"/>
    </row>
    <row r="7" spans="1:9" ht="11.25">
      <c r="A7" s="528"/>
      <c r="B7" s="528"/>
      <c r="C7" s="528"/>
      <c r="D7" s="528"/>
      <c r="E7" s="528"/>
      <c r="F7" s="528"/>
      <c r="G7" s="528"/>
      <c r="H7" s="528"/>
      <c r="I7" s="528" t="s">
        <v>0</v>
      </c>
    </row>
    <row r="8" spans="1:9" ht="56.25">
      <c r="A8" s="645" t="s">
        <v>1</v>
      </c>
      <c r="B8" s="646" t="s">
        <v>2</v>
      </c>
      <c r="C8" s="646" t="s">
        <v>3</v>
      </c>
      <c r="D8" s="646" t="s">
        <v>4</v>
      </c>
      <c r="E8" s="646" t="s">
        <v>5</v>
      </c>
      <c r="F8" s="646" t="s">
        <v>6</v>
      </c>
      <c r="G8" s="647" t="s">
        <v>7</v>
      </c>
      <c r="H8" s="648"/>
      <c r="I8" s="649" t="s">
        <v>8</v>
      </c>
    </row>
    <row r="9" spans="1:9" ht="11.25">
      <c r="A9" s="603"/>
      <c r="B9" s="650"/>
      <c r="C9" s="650"/>
      <c r="D9" s="650"/>
      <c r="E9" s="650"/>
      <c r="F9" s="650"/>
      <c r="G9" s="650" t="s">
        <v>9</v>
      </c>
      <c r="H9" s="650" t="s">
        <v>10</v>
      </c>
      <c r="I9" s="651"/>
    </row>
    <row r="10" spans="1:9" ht="11.25">
      <c r="A10" s="652">
        <v>1</v>
      </c>
      <c r="B10" s="653">
        <v>2</v>
      </c>
      <c r="C10" s="653">
        <v>3</v>
      </c>
      <c r="D10" s="653">
        <v>4</v>
      </c>
      <c r="E10" s="653">
        <v>5</v>
      </c>
      <c r="F10" s="653">
        <v>6</v>
      </c>
      <c r="G10" s="653">
        <v>7</v>
      </c>
      <c r="H10" s="653">
        <v>8</v>
      </c>
      <c r="I10" s="654">
        <v>9</v>
      </c>
    </row>
    <row r="11" spans="1:9" ht="12">
      <c r="A11" s="606" t="s">
        <v>674</v>
      </c>
      <c r="B11" s="655"/>
      <c r="C11" s="655">
        <f>643464+339732</f>
        <v>983196</v>
      </c>
      <c r="D11" s="656">
        <v>11087</v>
      </c>
      <c r="E11" s="655">
        <f>2929802+1610180</f>
        <v>4539982</v>
      </c>
      <c r="F11" s="656"/>
      <c r="G11" s="656"/>
      <c r="H11" s="656"/>
      <c r="I11" s="633">
        <f aca="true" t="shared" si="0" ref="I11:I44">SUM(B11:H11)</f>
        <v>5534265</v>
      </c>
    </row>
    <row r="12" spans="1:9" ht="12">
      <c r="A12" s="606" t="s">
        <v>675</v>
      </c>
      <c r="B12" s="656"/>
      <c r="C12" s="656">
        <f>86558+45539</f>
        <v>132097</v>
      </c>
      <c r="D12" s="656">
        <v>1090</v>
      </c>
      <c r="E12" s="655">
        <f>467022+257592</f>
        <v>724614</v>
      </c>
      <c r="F12" s="656"/>
      <c r="G12" s="656"/>
      <c r="H12" s="656"/>
      <c r="I12" s="633">
        <f t="shared" si="0"/>
        <v>857801</v>
      </c>
    </row>
    <row r="13" spans="1:9" ht="12">
      <c r="A13" s="606" t="s">
        <v>676</v>
      </c>
      <c r="B13" s="656"/>
      <c r="C13" s="656">
        <f>71042+37055</f>
        <v>108097</v>
      </c>
      <c r="D13" s="656">
        <v>3087</v>
      </c>
      <c r="E13" s="655">
        <f>292158+162140</f>
        <v>454298</v>
      </c>
      <c r="F13" s="656"/>
      <c r="G13" s="656"/>
      <c r="H13" s="656"/>
      <c r="I13" s="633">
        <f t="shared" si="0"/>
        <v>565482</v>
      </c>
    </row>
    <row r="14" spans="1:9" ht="12">
      <c r="A14" s="606" t="s">
        <v>677</v>
      </c>
      <c r="B14" s="656"/>
      <c r="C14" s="656">
        <f>20454+10709</f>
        <v>31163</v>
      </c>
      <c r="D14" s="656">
        <v>194</v>
      </c>
      <c r="E14" s="655">
        <f>227068+123983</f>
        <v>351051</v>
      </c>
      <c r="F14" s="656"/>
      <c r="G14" s="656"/>
      <c r="H14" s="656"/>
      <c r="I14" s="633">
        <f t="shared" si="0"/>
        <v>382408</v>
      </c>
    </row>
    <row r="15" spans="1:9" ht="12">
      <c r="A15" s="606" t="s">
        <v>678</v>
      </c>
      <c r="B15" s="656">
        <v>70500</v>
      </c>
      <c r="C15" s="656">
        <f>103554+54374</f>
        <v>157928</v>
      </c>
      <c r="D15" s="656">
        <v>1090</v>
      </c>
      <c r="E15" s="655">
        <f>352216+192420</f>
        <v>544636</v>
      </c>
      <c r="F15" s="656"/>
      <c r="G15" s="656"/>
      <c r="H15" s="656"/>
      <c r="I15" s="633">
        <f t="shared" si="0"/>
        <v>774154</v>
      </c>
    </row>
    <row r="16" spans="1:9" ht="12">
      <c r="A16" s="606" t="s">
        <v>679</v>
      </c>
      <c r="B16" s="656"/>
      <c r="C16" s="656">
        <f>75056+39401</f>
        <v>114457</v>
      </c>
      <c r="D16" s="656">
        <v>908</v>
      </c>
      <c r="E16" s="656">
        <f>173250+94555</f>
        <v>267805</v>
      </c>
      <c r="F16" s="656"/>
      <c r="G16" s="656"/>
      <c r="H16" s="656"/>
      <c r="I16" s="633">
        <f t="shared" si="0"/>
        <v>383170</v>
      </c>
    </row>
    <row r="17" spans="1:9" ht="12">
      <c r="A17" s="606" t="s">
        <v>680</v>
      </c>
      <c r="B17" s="656"/>
      <c r="C17" s="656">
        <f>7618+3925</f>
        <v>11543</v>
      </c>
      <c r="D17" s="656">
        <v>726</v>
      </c>
      <c r="E17" s="655">
        <f>180578+97975</f>
        <v>278553</v>
      </c>
      <c r="F17" s="656"/>
      <c r="G17" s="656"/>
      <c r="H17" s="656"/>
      <c r="I17" s="633">
        <f t="shared" si="0"/>
        <v>290822</v>
      </c>
    </row>
    <row r="18" spans="1:9" ht="12">
      <c r="A18" s="606" t="s">
        <v>683</v>
      </c>
      <c r="B18" s="656"/>
      <c r="C18" s="656">
        <f>70234+37003</f>
        <v>107237</v>
      </c>
      <c r="D18" s="656">
        <v>726</v>
      </c>
      <c r="E18" s="655">
        <f>247296+133552</f>
        <v>380848</v>
      </c>
      <c r="F18" s="656"/>
      <c r="G18" s="656"/>
      <c r="H18" s="656"/>
      <c r="I18" s="633">
        <f t="shared" si="0"/>
        <v>488811</v>
      </c>
    </row>
    <row r="19" spans="1:9" ht="12">
      <c r="A19" s="606" t="s">
        <v>684</v>
      </c>
      <c r="B19" s="656"/>
      <c r="C19" s="656">
        <f>80126+41763</f>
        <v>121889</v>
      </c>
      <c r="D19" s="656">
        <v>908</v>
      </c>
      <c r="E19" s="656">
        <f>149670+81355</f>
        <v>231025</v>
      </c>
      <c r="F19" s="656"/>
      <c r="G19" s="656"/>
      <c r="H19" s="656"/>
      <c r="I19" s="633">
        <f t="shared" si="0"/>
        <v>353822</v>
      </c>
    </row>
    <row r="20" spans="1:9" ht="12">
      <c r="A20" s="606" t="s">
        <v>685</v>
      </c>
      <c r="B20" s="656">
        <v>31000</v>
      </c>
      <c r="C20" s="656">
        <f>65934+34345</f>
        <v>100279</v>
      </c>
      <c r="D20" s="656">
        <v>1453</v>
      </c>
      <c r="E20" s="656">
        <f>169872+92479</f>
        <v>262351</v>
      </c>
      <c r="F20" s="656"/>
      <c r="G20" s="656"/>
      <c r="H20" s="656"/>
      <c r="I20" s="633">
        <f t="shared" si="0"/>
        <v>395083</v>
      </c>
    </row>
    <row r="21" spans="1:9" ht="12">
      <c r="A21" s="606" t="s">
        <v>686</v>
      </c>
      <c r="B21" s="656">
        <v>10000</v>
      </c>
      <c r="C21" s="656">
        <f>108448+56899</f>
        <v>165347</v>
      </c>
      <c r="D21" s="656">
        <v>1271</v>
      </c>
      <c r="E21" s="655">
        <f>285312+154015</f>
        <v>439327</v>
      </c>
      <c r="F21" s="656"/>
      <c r="G21" s="656"/>
      <c r="H21" s="656">
        <v>9750</v>
      </c>
      <c r="I21" s="633">
        <f t="shared" si="0"/>
        <v>625695</v>
      </c>
    </row>
    <row r="22" spans="1:9" ht="12">
      <c r="A22" s="606" t="s">
        <v>687</v>
      </c>
      <c r="B22" s="656">
        <v>6000</v>
      </c>
      <c r="C22" s="655">
        <f>195222+101600</f>
        <v>296822</v>
      </c>
      <c r="D22" s="656">
        <v>1453</v>
      </c>
      <c r="E22" s="655">
        <f>343602+184608</f>
        <v>528210</v>
      </c>
      <c r="F22" s="656"/>
      <c r="G22" s="656"/>
      <c r="H22" s="656"/>
      <c r="I22" s="633">
        <f t="shared" si="0"/>
        <v>832485</v>
      </c>
    </row>
    <row r="23" spans="1:9" ht="12">
      <c r="A23" s="606" t="s">
        <v>688</v>
      </c>
      <c r="B23" s="656">
        <v>159000</v>
      </c>
      <c r="C23" s="656">
        <f>58823+30937</f>
        <v>89760</v>
      </c>
      <c r="D23" s="656">
        <v>545</v>
      </c>
      <c r="E23" s="655">
        <f>207818+111452</f>
        <v>319270</v>
      </c>
      <c r="F23" s="656"/>
      <c r="G23" s="656"/>
      <c r="H23" s="656">
        <v>10500</v>
      </c>
      <c r="I23" s="633">
        <f t="shared" si="0"/>
        <v>579075</v>
      </c>
    </row>
    <row r="24" spans="1:9" ht="12">
      <c r="A24" s="606" t="s">
        <v>689</v>
      </c>
      <c r="B24" s="656">
        <v>2750</v>
      </c>
      <c r="C24" s="656">
        <f>25942+13676</f>
        <v>39618</v>
      </c>
      <c r="D24" s="656">
        <v>908</v>
      </c>
      <c r="E24" s="655">
        <f>243378+131781</f>
        <v>375159</v>
      </c>
      <c r="F24" s="656"/>
      <c r="G24" s="656"/>
      <c r="H24" s="656"/>
      <c r="I24" s="633">
        <f t="shared" si="0"/>
        <v>418435</v>
      </c>
    </row>
    <row r="25" spans="1:9" ht="12">
      <c r="A25" s="606" t="s">
        <v>690</v>
      </c>
      <c r="B25" s="656">
        <v>70000</v>
      </c>
      <c r="C25" s="656">
        <f>25246+13235</f>
        <v>38481</v>
      </c>
      <c r="D25" s="656">
        <v>545</v>
      </c>
      <c r="E25" s="656">
        <f>155800+85065</f>
        <v>240865</v>
      </c>
      <c r="F25" s="656"/>
      <c r="G25" s="656"/>
      <c r="H25" s="656"/>
      <c r="I25" s="633">
        <f t="shared" si="0"/>
        <v>349891</v>
      </c>
    </row>
    <row r="26" spans="1:9" ht="12">
      <c r="A26" s="606" t="s">
        <v>691</v>
      </c>
      <c r="B26" s="656"/>
      <c r="C26" s="656">
        <f>50540+26528</f>
        <v>77068</v>
      </c>
      <c r="D26" s="656">
        <v>726</v>
      </c>
      <c r="E26" s="655">
        <f>206358+109644</f>
        <v>316002</v>
      </c>
      <c r="F26" s="656"/>
      <c r="G26" s="656"/>
      <c r="H26" s="656"/>
      <c r="I26" s="633">
        <f t="shared" si="0"/>
        <v>393796</v>
      </c>
    </row>
    <row r="27" spans="1:9" ht="12">
      <c r="A27" s="606" t="s">
        <v>692</v>
      </c>
      <c r="B27" s="656">
        <v>40000</v>
      </c>
      <c r="C27" s="656">
        <f>87308+45368</f>
        <v>132676</v>
      </c>
      <c r="D27" s="656">
        <v>908</v>
      </c>
      <c r="E27" s="655">
        <f>283346+153451</f>
        <v>436797</v>
      </c>
      <c r="F27" s="656"/>
      <c r="G27" s="656"/>
      <c r="H27" s="656">
        <v>15169</v>
      </c>
      <c r="I27" s="633">
        <f t="shared" si="0"/>
        <v>625550</v>
      </c>
    </row>
    <row r="28" spans="1:9" ht="12">
      <c r="A28" s="606" t="s">
        <v>693</v>
      </c>
      <c r="B28" s="656">
        <v>51000</v>
      </c>
      <c r="C28" s="656">
        <f>26132+13786</f>
        <v>39918</v>
      </c>
      <c r="D28" s="656">
        <v>578</v>
      </c>
      <c r="E28" s="655">
        <f>209584+113105</f>
        <v>322689</v>
      </c>
      <c r="F28" s="656"/>
      <c r="G28" s="656"/>
      <c r="H28" s="656"/>
      <c r="I28" s="633">
        <f t="shared" si="0"/>
        <v>414185</v>
      </c>
    </row>
    <row r="29" spans="1:9" ht="12">
      <c r="A29" s="606" t="s">
        <v>694</v>
      </c>
      <c r="B29" s="656">
        <v>12000</v>
      </c>
      <c r="C29" s="656">
        <f>84482+44636</f>
        <v>129118</v>
      </c>
      <c r="D29" s="656">
        <v>908</v>
      </c>
      <c r="E29" s="655">
        <f>249092+133302</f>
        <v>382394</v>
      </c>
      <c r="F29" s="656"/>
      <c r="G29" s="656"/>
      <c r="H29" s="656"/>
      <c r="I29" s="633">
        <f t="shared" si="0"/>
        <v>524420</v>
      </c>
    </row>
    <row r="30" spans="1:9" ht="12">
      <c r="A30" s="606" t="s">
        <v>695</v>
      </c>
      <c r="B30" s="656">
        <v>2500</v>
      </c>
      <c r="C30" s="656">
        <f>97154+50843</f>
        <v>147997</v>
      </c>
      <c r="D30" s="656">
        <v>908</v>
      </c>
      <c r="E30" s="655">
        <f>272546+146518</f>
        <v>419064</v>
      </c>
      <c r="F30" s="656"/>
      <c r="G30" s="656"/>
      <c r="H30" s="656">
        <v>10500</v>
      </c>
      <c r="I30" s="633">
        <f t="shared" si="0"/>
        <v>580969</v>
      </c>
    </row>
    <row r="31" spans="1:9" ht="12">
      <c r="A31" s="606" t="s">
        <v>696</v>
      </c>
      <c r="B31" s="656"/>
      <c r="C31" s="656">
        <f>30092+15879</f>
        <v>45971</v>
      </c>
      <c r="D31" s="656">
        <v>908</v>
      </c>
      <c r="E31" s="655">
        <f>221596+119962</f>
        <v>341558</v>
      </c>
      <c r="F31" s="656"/>
      <c r="G31" s="656"/>
      <c r="H31" s="656"/>
      <c r="I31" s="633">
        <f t="shared" si="0"/>
        <v>388437</v>
      </c>
    </row>
    <row r="32" spans="1:9" ht="12">
      <c r="A32" s="606" t="s">
        <v>697</v>
      </c>
      <c r="B32" s="656"/>
      <c r="C32" s="656">
        <f>26990+14137</f>
        <v>41127</v>
      </c>
      <c r="D32" s="656">
        <v>908</v>
      </c>
      <c r="E32" s="655">
        <f>188384+102206</f>
        <v>290590</v>
      </c>
      <c r="F32" s="656"/>
      <c r="G32" s="656"/>
      <c r="H32" s="656">
        <v>21028</v>
      </c>
      <c r="I32" s="633">
        <f t="shared" si="0"/>
        <v>353653</v>
      </c>
    </row>
    <row r="33" spans="1:9" ht="12">
      <c r="A33" s="606" t="s">
        <v>698</v>
      </c>
      <c r="B33" s="656">
        <v>70000</v>
      </c>
      <c r="C33" s="656">
        <f>51354+26881</f>
        <v>78235</v>
      </c>
      <c r="D33" s="656">
        <v>1634</v>
      </c>
      <c r="E33" s="655">
        <f>249750+135520</f>
        <v>385270</v>
      </c>
      <c r="F33" s="656"/>
      <c r="G33" s="656"/>
      <c r="H33" s="656">
        <v>4425</v>
      </c>
      <c r="I33" s="633">
        <f t="shared" si="0"/>
        <v>539564</v>
      </c>
    </row>
    <row r="34" spans="1:9" ht="12">
      <c r="A34" s="606" t="s">
        <v>699</v>
      </c>
      <c r="B34" s="656"/>
      <c r="C34" s="656">
        <f>52046+27104</f>
        <v>79150</v>
      </c>
      <c r="D34" s="656">
        <v>1453</v>
      </c>
      <c r="E34" s="655">
        <f>324012+175914</f>
        <v>499926</v>
      </c>
      <c r="F34" s="656"/>
      <c r="G34" s="656"/>
      <c r="H34" s="656"/>
      <c r="I34" s="633">
        <f t="shared" si="0"/>
        <v>580529</v>
      </c>
    </row>
    <row r="35" spans="1:9" ht="12">
      <c r="A35" s="606" t="s">
        <v>700</v>
      </c>
      <c r="B35" s="656">
        <v>25000</v>
      </c>
      <c r="C35" s="656">
        <f>73706+38181</f>
        <v>111887</v>
      </c>
      <c r="D35" s="656">
        <v>1453</v>
      </c>
      <c r="E35" s="655">
        <f>233270+126217</f>
        <v>359487</v>
      </c>
      <c r="F35" s="656"/>
      <c r="G35" s="656"/>
      <c r="H35" s="656"/>
      <c r="I35" s="633">
        <f t="shared" si="0"/>
        <v>497827</v>
      </c>
    </row>
    <row r="36" spans="1:9" ht="12">
      <c r="A36" s="606" t="s">
        <v>701</v>
      </c>
      <c r="B36" s="656">
        <v>4000</v>
      </c>
      <c r="C36" s="656">
        <f>113138+58896</f>
        <v>172034</v>
      </c>
      <c r="D36" s="656">
        <v>908</v>
      </c>
      <c r="E36" s="655">
        <f>226820+121303</f>
        <v>348123</v>
      </c>
      <c r="F36" s="656"/>
      <c r="G36" s="656"/>
      <c r="H36" s="656">
        <v>15750</v>
      </c>
      <c r="I36" s="633">
        <f t="shared" si="0"/>
        <v>540815</v>
      </c>
    </row>
    <row r="37" spans="1:9" ht="12">
      <c r="A37" s="606" t="s">
        <v>702</v>
      </c>
      <c r="B37" s="656">
        <v>20000</v>
      </c>
      <c r="C37" s="656">
        <f>102024+53567</f>
        <v>155591</v>
      </c>
      <c r="D37" s="656">
        <v>2905</v>
      </c>
      <c r="E37" s="655">
        <f>615598+334677</f>
        <v>950275</v>
      </c>
      <c r="F37" s="656"/>
      <c r="G37" s="656"/>
      <c r="H37" s="656">
        <v>5250</v>
      </c>
      <c r="I37" s="633">
        <f t="shared" si="0"/>
        <v>1134021</v>
      </c>
    </row>
    <row r="38" spans="1:9" ht="12">
      <c r="A38" s="606" t="s">
        <v>703</v>
      </c>
      <c r="B38" s="656"/>
      <c r="C38" s="656">
        <f>111676+58087</f>
        <v>169763</v>
      </c>
      <c r="D38" s="656">
        <v>908</v>
      </c>
      <c r="E38" s="655">
        <f>220962+119415</f>
        <v>340377</v>
      </c>
      <c r="F38" s="656"/>
      <c r="G38" s="656"/>
      <c r="H38" s="656"/>
      <c r="I38" s="633">
        <f t="shared" si="0"/>
        <v>511048</v>
      </c>
    </row>
    <row r="39" spans="1:9" ht="12">
      <c r="A39" s="606" t="s">
        <v>704</v>
      </c>
      <c r="B39" s="656">
        <v>211000</v>
      </c>
      <c r="C39" s="656">
        <f>48558+25626</f>
        <v>74184</v>
      </c>
      <c r="D39" s="656">
        <v>1271</v>
      </c>
      <c r="E39" s="655">
        <f>286548+155064</f>
        <v>441612</v>
      </c>
      <c r="F39" s="656"/>
      <c r="G39" s="656"/>
      <c r="H39" s="656"/>
      <c r="I39" s="633">
        <f t="shared" si="0"/>
        <v>728067</v>
      </c>
    </row>
    <row r="40" spans="1:9" ht="12">
      <c r="A40" s="606" t="s">
        <v>705</v>
      </c>
      <c r="B40" s="655">
        <v>39800</v>
      </c>
      <c r="C40" s="656">
        <f>144450+75532</f>
        <v>219982</v>
      </c>
      <c r="D40" s="656">
        <v>908</v>
      </c>
      <c r="E40" s="655">
        <f>293160+158769</f>
        <v>451929</v>
      </c>
      <c r="F40" s="655"/>
      <c r="G40" s="655"/>
      <c r="H40" s="655">
        <v>5250</v>
      </c>
      <c r="I40" s="633">
        <f t="shared" si="0"/>
        <v>717869</v>
      </c>
    </row>
    <row r="41" spans="1:9" ht="12">
      <c r="A41" s="606" t="s">
        <v>706</v>
      </c>
      <c r="B41" s="656"/>
      <c r="C41" s="656">
        <f>35856+18732</f>
        <v>54588</v>
      </c>
      <c r="D41" s="656">
        <v>1453</v>
      </c>
      <c r="E41" s="655">
        <f>190826+103926</f>
        <v>294752</v>
      </c>
      <c r="F41" s="655"/>
      <c r="G41" s="655"/>
      <c r="H41" s="655">
        <v>10200</v>
      </c>
      <c r="I41" s="633">
        <f t="shared" si="0"/>
        <v>360993</v>
      </c>
    </row>
    <row r="42" spans="1:9" ht="12">
      <c r="A42" s="606" t="s">
        <v>707</v>
      </c>
      <c r="B42" s="656"/>
      <c r="C42" s="656">
        <f>141666+75053</f>
        <v>216719</v>
      </c>
      <c r="D42" s="656">
        <v>1634</v>
      </c>
      <c r="E42" s="655">
        <f>348084+189063</f>
        <v>537147</v>
      </c>
      <c r="F42" s="655"/>
      <c r="G42" s="655"/>
      <c r="H42" s="655"/>
      <c r="I42" s="633">
        <f t="shared" si="0"/>
        <v>755500</v>
      </c>
    </row>
    <row r="43" spans="1:9" ht="12">
      <c r="A43" s="657" t="s">
        <v>708</v>
      </c>
      <c r="B43" s="658"/>
      <c r="C43" s="658">
        <f>34724+18102</f>
        <v>52826</v>
      </c>
      <c r="D43" s="658">
        <v>694</v>
      </c>
      <c r="E43" s="658">
        <f>82328+44038</f>
        <v>126366</v>
      </c>
      <c r="F43" s="463"/>
      <c r="G43" s="659"/>
      <c r="H43" s="659"/>
      <c r="I43" s="660">
        <f t="shared" si="0"/>
        <v>179886</v>
      </c>
    </row>
    <row r="44" spans="1:9" ht="12.75">
      <c r="A44" s="661" t="s">
        <v>710</v>
      </c>
      <c r="B44" s="662">
        <f aca="true" t="shared" si="1" ref="B44:H44">SUM(B11:B43)</f>
        <v>824550</v>
      </c>
      <c r="C44" s="662">
        <f t="shared" si="1"/>
        <v>4496748</v>
      </c>
      <c r="D44" s="662">
        <f t="shared" si="1"/>
        <v>47056</v>
      </c>
      <c r="E44" s="662">
        <f t="shared" si="1"/>
        <v>17182352</v>
      </c>
      <c r="F44" s="662">
        <f t="shared" si="1"/>
        <v>0</v>
      </c>
      <c r="G44" s="662">
        <f t="shared" si="1"/>
        <v>0</v>
      </c>
      <c r="H44" s="662">
        <f t="shared" si="1"/>
        <v>107822</v>
      </c>
      <c r="I44" s="663">
        <f t="shared" si="0"/>
        <v>22658528</v>
      </c>
    </row>
    <row r="45" spans="1:9" ht="12">
      <c r="A45" s="664"/>
      <c r="B45" s="665"/>
      <c r="C45" s="665"/>
      <c r="D45" s="665"/>
      <c r="E45" s="665"/>
      <c r="F45" s="665"/>
      <c r="G45" s="665"/>
      <c r="H45" s="665"/>
      <c r="I45" s="665"/>
    </row>
    <row r="46" spans="1:9" ht="12">
      <c r="A46" s="664"/>
      <c r="B46" s="665"/>
      <c r="C46" s="665"/>
      <c r="D46" s="666"/>
      <c r="E46" s="665"/>
      <c r="F46" s="665"/>
      <c r="G46" s="665"/>
      <c r="H46" s="665"/>
      <c r="I46" s="665"/>
    </row>
    <row r="47" spans="1:9" ht="12">
      <c r="A47" s="664"/>
      <c r="B47" s="665"/>
      <c r="C47" s="665"/>
      <c r="D47" s="665"/>
      <c r="E47" s="665"/>
      <c r="F47" s="665"/>
      <c r="G47" s="665"/>
      <c r="H47" s="665"/>
      <c r="I47" s="665"/>
    </row>
    <row r="48" spans="1:8" ht="12.75">
      <c r="A48" s="667"/>
      <c r="B48" s="668"/>
      <c r="C48" s="669"/>
      <c r="D48" s="670"/>
      <c r="E48" s="670"/>
      <c r="F48" s="670"/>
      <c r="G48" s="670"/>
      <c r="H48" s="670"/>
    </row>
    <row r="49" spans="1:9" s="474" customFormat="1" ht="12">
      <c r="A49" s="534" t="s">
        <v>575</v>
      </c>
      <c r="B49" s="534"/>
      <c r="C49" s="671"/>
      <c r="D49" s="672"/>
      <c r="E49" s="526"/>
      <c r="F49" s="534" t="s">
        <v>714</v>
      </c>
      <c r="G49" s="672"/>
      <c r="H49" s="526"/>
      <c r="I49" s="473" t="s">
        <v>576</v>
      </c>
    </row>
    <row r="50" spans="1:9" ht="12">
      <c r="A50" s="673"/>
      <c r="B50" s="674"/>
      <c r="C50" s="674"/>
      <c r="D50" s="674"/>
      <c r="E50" s="672"/>
      <c r="F50" s="675"/>
      <c r="G50" s="675"/>
      <c r="H50" s="675"/>
      <c r="I50" s="672"/>
    </row>
    <row r="62" ht="11.25">
      <c r="A62" s="438" t="s">
        <v>716</v>
      </c>
    </row>
    <row r="63" ht="11.25">
      <c r="A63" s="430" t="s">
        <v>717</v>
      </c>
    </row>
  </sheetData>
  <printOptions/>
  <pageMargins left="1.11" right="0.7480314960629921" top="0.984251968503937" bottom="0.984251968503937" header="0.5118110236220472" footer="0.5118110236220472"/>
  <pageSetup firstPageNumber="36" useFirstPageNumber="1"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G1">
      <selection activeCell="H54" sqref="H54"/>
    </sheetView>
  </sheetViews>
  <sheetFormatPr defaultColWidth="9.140625" defaultRowHeight="13.5" customHeight="1"/>
  <cols>
    <col min="1" max="1" width="35.8515625" style="136" hidden="1" customWidth="1"/>
    <col min="2" max="2" width="10.8515625" style="136" hidden="1" customWidth="1"/>
    <col min="3" max="3" width="9.28125" style="136" hidden="1" customWidth="1"/>
    <col min="4" max="4" width="10.421875" style="136" hidden="1" customWidth="1"/>
    <col min="5" max="5" width="7.421875" style="136" hidden="1" customWidth="1"/>
    <col min="6" max="6" width="10.421875" style="136" hidden="1" customWidth="1"/>
    <col min="7" max="7" width="39.57421875" style="136" customWidth="1"/>
    <col min="8" max="8" width="13.57421875" style="136" customWidth="1"/>
    <col min="9" max="9" width="10.00390625" style="136" customWidth="1"/>
    <col min="10" max="11" width="9.140625" style="136" customWidth="1"/>
    <col min="12" max="12" width="10.140625" style="136" customWidth="1"/>
    <col min="13" max="13" width="27.57421875" style="136" hidden="1" customWidth="1"/>
    <col min="14" max="14" width="12.8515625" style="136" hidden="1" customWidth="1"/>
    <col min="15" max="18" width="9.140625" style="136" hidden="1" customWidth="1"/>
    <col min="34" max="16384" width="9.140625" style="136" customWidth="1"/>
  </cols>
  <sheetData>
    <row r="1" spans="1:18" ht="20.25" customHeight="1">
      <c r="A1" s="44"/>
      <c r="B1" s="44"/>
      <c r="C1" s="135"/>
      <c r="D1" s="44"/>
      <c r="E1" s="44"/>
      <c r="F1" s="36" t="s">
        <v>220</v>
      </c>
      <c r="G1" s="44"/>
      <c r="H1" s="44"/>
      <c r="I1" s="44"/>
      <c r="J1" s="44"/>
      <c r="K1" s="44"/>
      <c r="L1" s="36" t="s">
        <v>220</v>
      </c>
      <c r="M1" s="44"/>
      <c r="N1" s="44"/>
      <c r="O1" s="44"/>
      <c r="P1" s="44"/>
      <c r="Q1" s="44"/>
      <c r="R1" s="36" t="s">
        <v>220</v>
      </c>
    </row>
    <row r="2" spans="1:18" ht="13.5" customHeight="1">
      <c r="A2" s="32" t="s">
        <v>221</v>
      </c>
      <c r="B2" s="32"/>
      <c r="C2" s="137"/>
      <c r="D2" s="32"/>
      <c r="E2" s="32"/>
      <c r="F2" s="44"/>
      <c r="G2" s="32" t="s">
        <v>222</v>
      </c>
      <c r="H2" s="32"/>
      <c r="I2" s="32"/>
      <c r="J2" s="32"/>
      <c r="K2" s="32"/>
      <c r="L2" s="44"/>
      <c r="M2" s="32" t="s">
        <v>223</v>
      </c>
      <c r="N2" s="32"/>
      <c r="O2" s="32"/>
      <c r="P2" s="32"/>
      <c r="Q2" s="32"/>
      <c r="R2" s="44"/>
    </row>
    <row r="3" spans="1:18" ht="13.5" customHeight="1">
      <c r="A3" s="64"/>
      <c r="B3" s="44"/>
      <c r="C3" s="135"/>
      <c r="D3" s="44"/>
      <c r="E3" s="44"/>
      <c r="F3" s="44"/>
      <c r="G3" s="64"/>
      <c r="H3" s="44"/>
      <c r="I3" s="44"/>
      <c r="J3" s="44"/>
      <c r="K3" s="44"/>
      <c r="L3" s="44"/>
      <c r="M3" s="64"/>
      <c r="N3" s="44"/>
      <c r="O3" s="44"/>
      <c r="P3" s="44"/>
      <c r="Q3" s="44"/>
      <c r="R3" s="44"/>
    </row>
    <row r="4" spans="1:18" ht="19.5" customHeight="1">
      <c r="A4" s="138" t="s">
        <v>224</v>
      </c>
      <c r="B4" s="32"/>
      <c r="C4" s="137"/>
      <c r="D4" s="32"/>
      <c r="E4" s="32"/>
      <c r="F4" s="44"/>
      <c r="G4" s="692" t="s">
        <v>225</v>
      </c>
      <c r="H4" s="692"/>
      <c r="I4" s="692"/>
      <c r="J4" s="692"/>
      <c r="K4" s="692"/>
      <c r="L4" s="692"/>
      <c r="M4" s="693" t="s">
        <v>225</v>
      </c>
      <c r="N4" s="693"/>
      <c r="O4" s="693"/>
      <c r="P4" s="693"/>
      <c r="Q4" s="693"/>
      <c r="R4" s="693"/>
    </row>
    <row r="5" spans="1:18" ht="19.5" customHeight="1">
      <c r="A5" s="138"/>
      <c r="B5" s="32"/>
      <c r="C5" s="137"/>
      <c r="D5" s="32"/>
      <c r="E5" s="32"/>
      <c r="F5" s="44"/>
      <c r="G5" s="105"/>
      <c r="H5" s="105" t="s">
        <v>226</v>
      </c>
      <c r="I5" s="105"/>
      <c r="J5" s="105"/>
      <c r="K5" s="105"/>
      <c r="L5" s="105"/>
      <c r="M5" s="139"/>
      <c r="N5" s="139" t="s">
        <v>227</v>
      </c>
      <c r="O5" s="139"/>
      <c r="P5" s="139"/>
      <c r="Q5" s="139"/>
      <c r="R5" s="139"/>
    </row>
    <row r="6" spans="1:18" ht="13.5" customHeight="1">
      <c r="A6" s="64"/>
      <c r="B6" s="44"/>
      <c r="C6" s="135"/>
      <c r="D6" s="44"/>
      <c r="E6" s="87"/>
      <c r="F6" s="87" t="s">
        <v>149</v>
      </c>
      <c r="G6" s="64"/>
      <c r="H6" s="44"/>
      <c r="I6" s="44"/>
      <c r="J6" s="44"/>
      <c r="K6" s="87"/>
      <c r="L6" s="87" t="s">
        <v>149</v>
      </c>
      <c r="M6" s="64"/>
      <c r="N6" s="44"/>
      <c r="O6" s="44"/>
      <c r="P6" s="44"/>
      <c r="Q6" s="87"/>
      <c r="R6" s="87" t="s">
        <v>149</v>
      </c>
    </row>
    <row r="7" spans="1:18" ht="46.5" customHeight="1">
      <c r="A7" s="140" t="s">
        <v>59</v>
      </c>
      <c r="B7" s="140" t="s">
        <v>110</v>
      </c>
      <c r="C7" s="141" t="s">
        <v>228</v>
      </c>
      <c r="D7" s="140" t="s">
        <v>112</v>
      </c>
      <c r="E7" s="140" t="s">
        <v>229</v>
      </c>
      <c r="F7" s="140" t="s">
        <v>115</v>
      </c>
      <c r="G7" s="140" t="s">
        <v>59</v>
      </c>
      <c r="H7" s="140" t="s">
        <v>110</v>
      </c>
      <c r="I7" s="140" t="s">
        <v>228</v>
      </c>
      <c r="J7" s="140" t="s">
        <v>112</v>
      </c>
      <c r="K7" s="140" t="s">
        <v>229</v>
      </c>
      <c r="L7" s="140" t="s">
        <v>63</v>
      </c>
      <c r="M7" s="140" t="s">
        <v>59</v>
      </c>
      <c r="N7" s="140" t="str">
        <f>J7</f>
        <v>Izpilde no gada sākuma</v>
      </c>
      <c r="O7" s="140" t="str">
        <f>'[4]feb.labotais'!J7</f>
        <v>Izpilde no gada sākuma</v>
      </c>
      <c r="P7" s="140"/>
      <c r="Q7" s="140"/>
      <c r="R7" s="140" t="s">
        <v>230</v>
      </c>
    </row>
    <row r="8" spans="1:18" ht="13.5" customHeight="1">
      <c r="A8" s="142">
        <v>1</v>
      </c>
      <c r="B8" s="143">
        <v>2</v>
      </c>
      <c r="C8" s="144">
        <v>3</v>
      </c>
      <c r="D8" s="145">
        <v>4</v>
      </c>
      <c r="E8" s="145">
        <v>5</v>
      </c>
      <c r="F8" s="143">
        <v>6</v>
      </c>
      <c r="G8" s="142">
        <v>1</v>
      </c>
      <c r="H8" s="143">
        <v>2</v>
      </c>
      <c r="I8" s="145">
        <v>3</v>
      </c>
      <c r="J8" s="145">
        <v>4</v>
      </c>
      <c r="K8" s="145">
        <v>5</v>
      </c>
      <c r="L8" s="143">
        <v>6</v>
      </c>
      <c r="M8" s="142">
        <v>1</v>
      </c>
      <c r="N8" s="140" t="s">
        <v>231</v>
      </c>
      <c r="O8" s="140" t="s">
        <v>232</v>
      </c>
      <c r="P8" s="140"/>
      <c r="Q8" s="140"/>
      <c r="R8" s="143">
        <v>6</v>
      </c>
    </row>
    <row r="9" spans="1:18" ht="15.75" customHeight="1">
      <c r="A9" s="146" t="s">
        <v>233</v>
      </c>
      <c r="B9" s="147">
        <f>SUM(B10,B18,B31,B33)</f>
        <v>737531269</v>
      </c>
      <c r="C9" s="148">
        <v>0.9991</v>
      </c>
      <c r="D9" s="147">
        <f>D10+D18+D31+D33</f>
        <v>171291998.44000003</v>
      </c>
      <c r="E9" s="149">
        <f aca="true" t="shared" si="0" ref="E9:E33">IF(ISERROR(D9/B9)," ",(D9/B9))</f>
        <v>0.23225048976194665</v>
      </c>
      <c r="F9" s="147">
        <f>F10+F18+F31+F33</f>
        <v>0</v>
      </c>
      <c r="G9" s="146" t="s">
        <v>233</v>
      </c>
      <c r="H9" s="147">
        <f>SUM(H10,H18,H31,H33)</f>
        <v>737531</v>
      </c>
      <c r="I9" s="150">
        <f>C9</f>
        <v>0.9991</v>
      </c>
      <c r="J9" s="147">
        <f>J10+J18+J31+J33</f>
        <v>170498</v>
      </c>
      <c r="K9" s="149">
        <f>IF(ISERROR(J9/H9)," ",(J9/H9))</f>
        <v>0.23117401166866205</v>
      </c>
      <c r="L9" s="147">
        <f>L10+L18+L31+L33</f>
        <v>58066</v>
      </c>
      <c r="M9" s="146" t="s">
        <v>233</v>
      </c>
      <c r="N9" s="140">
        <f aca="true" t="shared" si="1" ref="N9:N33">J9</f>
        <v>170498</v>
      </c>
      <c r="O9" s="140">
        <f>'[4]feb.labotais'!J9</f>
        <v>112432</v>
      </c>
      <c r="P9" s="140"/>
      <c r="Q9" s="140"/>
      <c r="R9" s="147">
        <f>N9-O9</f>
        <v>58066</v>
      </c>
    </row>
    <row r="10" spans="1:18" ht="13.5" customHeight="1">
      <c r="A10" s="151" t="s">
        <v>234</v>
      </c>
      <c r="B10" s="147">
        <f>SUM(B11,B13,B17)</f>
        <v>587500000</v>
      </c>
      <c r="C10" s="152" t="s">
        <v>235</v>
      </c>
      <c r="D10" s="147">
        <f>SUM(D11,D13,)</f>
        <v>133490173.03999999</v>
      </c>
      <c r="E10" s="149">
        <f t="shared" si="0"/>
        <v>0.22721731581276594</v>
      </c>
      <c r="F10" s="147">
        <f>F11+F13+F17</f>
        <v>0</v>
      </c>
      <c r="G10" s="151" t="s">
        <v>234</v>
      </c>
      <c r="H10" s="6">
        <f>SUM(H11,H13,H17)</f>
        <v>587499</v>
      </c>
      <c r="I10" s="153" t="str">
        <f>C10</f>
        <v>99,92%</v>
      </c>
      <c r="J10" s="6">
        <f>SUM(J11,J13,)</f>
        <v>133491</v>
      </c>
      <c r="K10" s="149">
        <f>IF(ISERROR(J10/H10)," ",(J10/H10))</f>
        <v>0.2272191101601875</v>
      </c>
      <c r="L10" s="6">
        <f>L11+L13</f>
        <v>47260</v>
      </c>
      <c r="M10" s="151" t="s">
        <v>234</v>
      </c>
      <c r="N10" s="140">
        <f t="shared" si="1"/>
        <v>133491</v>
      </c>
      <c r="O10" s="140">
        <f>'[4]feb.labotais'!J10</f>
        <v>86231</v>
      </c>
      <c r="P10" s="140"/>
      <c r="Q10" s="140"/>
      <c r="R10" s="147">
        <f aca="true" t="shared" si="2" ref="R10:R33">N10-O10</f>
        <v>47260</v>
      </c>
    </row>
    <row r="11" spans="1:18" ht="13.5" customHeight="1">
      <c r="A11" s="151" t="s">
        <v>236</v>
      </c>
      <c r="B11" s="147">
        <f>SUM(B12)</f>
        <v>95100000</v>
      </c>
      <c r="C11" s="154">
        <v>1</v>
      </c>
      <c r="D11" s="147">
        <f>SUM(D12)</f>
        <v>22095582.07</v>
      </c>
      <c r="E11" s="149">
        <f t="shared" si="0"/>
        <v>0.2323405054679285</v>
      </c>
      <c r="F11" s="147">
        <f>F12</f>
        <v>0</v>
      </c>
      <c r="G11" s="151" t="s">
        <v>236</v>
      </c>
      <c r="H11" s="6">
        <f>SUM(H12)</f>
        <v>95100</v>
      </c>
      <c r="I11" s="155">
        <f aca="true" t="shared" si="3" ref="I11:I29">C11</f>
        <v>1</v>
      </c>
      <c r="J11" s="6">
        <f>SUM(J12)</f>
        <v>22096</v>
      </c>
      <c r="K11" s="149">
        <f aca="true" t="shared" si="4" ref="K11:K29">IF(ISERROR(ROUND(J11,0)/ROUND(H11,0))," ",(ROUND(J11,)/ROUND(H11,)))</f>
        <v>0.23234490010515246</v>
      </c>
      <c r="L11" s="6">
        <f>L12</f>
        <v>8125</v>
      </c>
      <c r="M11" s="151" t="s">
        <v>236</v>
      </c>
      <c r="N11" s="140">
        <f t="shared" si="1"/>
        <v>22096</v>
      </c>
      <c r="O11" s="140">
        <f>'[4]feb.labotais'!J11</f>
        <v>13971</v>
      </c>
      <c r="P11" s="140"/>
      <c r="Q11" s="140"/>
      <c r="R11" s="147">
        <f t="shared" si="2"/>
        <v>8125</v>
      </c>
    </row>
    <row r="12" spans="1:18" ht="13.5" customHeight="1">
      <c r="A12" s="67" t="s">
        <v>237</v>
      </c>
      <c r="B12" s="156">
        <v>95100000</v>
      </c>
      <c r="C12" s="154">
        <v>1</v>
      </c>
      <c r="D12" s="156">
        <v>22095582.07</v>
      </c>
      <c r="E12" s="157">
        <f t="shared" si="0"/>
        <v>0.2323405054679285</v>
      </c>
      <c r="F12" s="156"/>
      <c r="G12" s="67" t="s">
        <v>237</v>
      </c>
      <c r="H12" s="158">
        <f>ROUND(B12/1000,0)</f>
        <v>95100</v>
      </c>
      <c r="I12" s="159">
        <f t="shared" si="3"/>
        <v>1</v>
      </c>
      <c r="J12" s="158">
        <f>ROUND(D12/1000,0)</f>
        <v>22096</v>
      </c>
      <c r="K12" s="157">
        <f t="shared" si="4"/>
        <v>0.23234490010515246</v>
      </c>
      <c r="L12" s="158">
        <f>J12-'[4]feb.labotais'!J12</f>
        <v>8125</v>
      </c>
      <c r="M12" s="67" t="s">
        <v>237</v>
      </c>
      <c r="N12" s="140">
        <f t="shared" si="1"/>
        <v>22096</v>
      </c>
      <c r="O12" s="140">
        <f>'[4]feb.labotais'!J12</f>
        <v>13971</v>
      </c>
      <c r="P12" s="140"/>
      <c r="Q12" s="140"/>
      <c r="R12" s="147">
        <f t="shared" si="2"/>
        <v>8125</v>
      </c>
    </row>
    <row r="13" spans="1:18" ht="13.5" customHeight="1">
      <c r="A13" s="151" t="s">
        <v>238</v>
      </c>
      <c r="B13" s="147">
        <f>SUM(B14:B16)</f>
        <v>492400000</v>
      </c>
      <c r="C13" s="154">
        <v>1</v>
      </c>
      <c r="D13" s="147">
        <f>SUM(D14:D17)</f>
        <v>111394590.97</v>
      </c>
      <c r="E13" s="149">
        <f t="shared" si="0"/>
        <v>0.22622784518683997</v>
      </c>
      <c r="F13" s="147">
        <f>F14+F15+F16</f>
        <v>0</v>
      </c>
      <c r="G13" s="151" t="s">
        <v>238</v>
      </c>
      <c r="H13" s="6">
        <f>SUM(H14:H16)</f>
        <v>492399</v>
      </c>
      <c r="I13" s="155">
        <f t="shared" si="3"/>
        <v>1</v>
      </c>
      <c r="J13" s="6">
        <f>SUM(J14:J17)</f>
        <v>111395</v>
      </c>
      <c r="K13" s="149">
        <f t="shared" si="4"/>
        <v>0.22622913531505953</v>
      </c>
      <c r="L13" s="6">
        <f>L14+L15+L16+L17</f>
        <v>39135</v>
      </c>
      <c r="M13" s="151" t="s">
        <v>238</v>
      </c>
      <c r="N13" s="140">
        <f t="shared" si="1"/>
        <v>111395</v>
      </c>
      <c r="O13" s="140">
        <f>'[4]feb.labotais'!J13</f>
        <v>72260</v>
      </c>
      <c r="P13" s="140"/>
      <c r="Q13" s="140"/>
      <c r="R13" s="147">
        <f t="shared" si="2"/>
        <v>39135</v>
      </c>
    </row>
    <row r="14" spans="1:18" ht="13.5" customHeight="1">
      <c r="A14" s="67" t="s">
        <v>239</v>
      </c>
      <c r="B14" s="156">
        <v>346096000</v>
      </c>
      <c r="C14" s="154">
        <v>1</v>
      </c>
      <c r="D14" s="156">
        <v>77957691.41</v>
      </c>
      <c r="E14" s="157">
        <f t="shared" si="0"/>
        <v>0.22524875008668113</v>
      </c>
      <c r="F14" s="156"/>
      <c r="G14" s="67" t="s">
        <v>239</v>
      </c>
      <c r="H14" s="158">
        <f>ROUND(B14/1000,0)-1</f>
        <v>346095</v>
      </c>
      <c r="I14" s="159">
        <f t="shared" si="3"/>
        <v>1</v>
      </c>
      <c r="J14" s="158">
        <f>ROUND(D14/1000,0)</f>
        <v>77958</v>
      </c>
      <c r="K14" s="157">
        <f t="shared" si="4"/>
        <v>0.22525029254973344</v>
      </c>
      <c r="L14" s="158">
        <f>J14-'[4]feb.labotais'!J14</f>
        <v>27774</v>
      </c>
      <c r="M14" s="67" t="s">
        <v>239</v>
      </c>
      <c r="N14" s="140">
        <f t="shared" si="1"/>
        <v>77958</v>
      </c>
      <c r="O14" s="140">
        <f>'[4]feb.labotais'!J14</f>
        <v>50184</v>
      </c>
      <c r="P14" s="140"/>
      <c r="Q14" s="140"/>
      <c r="R14" s="147">
        <f t="shared" si="2"/>
        <v>27774</v>
      </c>
    </row>
    <row r="15" spans="1:18" ht="13.5" customHeight="1">
      <c r="A15" s="67" t="s">
        <v>240</v>
      </c>
      <c r="B15" s="156">
        <v>133504000</v>
      </c>
      <c r="C15" s="160">
        <v>0.9966</v>
      </c>
      <c r="D15" s="161">
        <f>19021451.67+3266321.34+3557923.29</f>
        <v>25845696.3</v>
      </c>
      <c r="E15" s="157">
        <f t="shared" si="0"/>
        <v>0.19359492075143817</v>
      </c>
      <c r="F15" s="156"/>
      <c r="G15" s="67" t="s">
        <v>240</v>
      </c>
      <c r="H15" s="158">
        <f>ROUND(B15/1000,0)</f>
        <v>133504</v>
      </c>
      <c r="I15" s="162">
        <v>0.9966</v>
      </c>
      <c r="J15" s="158">
        <f>ROUND(D15/1000,0)</f>
        <v>25846</v>
      </c>
      <c r="K15" s="157">
        <f t="shared" si="4"/>
        <v>0.19359719558964525</v>
      </c>
      <c r="L15" s="158">
        <f>J15-'[4]feb.labotais'!J15</f>
        <v>9716</v>
      </c>
      <c r="M15" s="67" t="s">
        <v>240</v>
      </c>
      <c r="N15" s="140">
        <f t="shared" si="1"/>
        <v>25846</v>
      </c>
      <c r="O15" s="140">
        <f>'[4]feb.labotais'!J15</f>
        <v>16130</v>
      </c>
      <c r="P15" s="140"/>
      <c r="Q15" s="140"/>
      <c r="R15" s="147">
        <f t="shared" si="2"/>
        <v>9716</v>
      </c>
    </row>
    <row r="16" spans="1:18" ht="13.5" customHeight="1">
      <c r="A16" s="163" t="s">
        <v>241</v>
      </c>
      <c r="B16" s="156">
        <v>12800000</v>
      </c>
      <c r="C16" s="154">
        <v>1</v>
      </c>
      <c r="D16" s="161">
        <v>3328032.58</v>
      </c>
      <c r="E16" s="157">
        <f t="shared" si="0"/>
        <v>0.2600025453125</v>
      </c>
      <c r="F16" s="156"/>
      <c r="G16" s="163" t="s">
        <v>241</v>
      </c>
      <c r="H16" s="158">
        <f>ROUND(B16/1000,0)</f>
        <v>12800</v>
      </c>
      <c r="I16" s="159">
        <f t="shared" si="3"/>
        <v>1</v>
      </c>
      <c r="J16" s="158">
        <f>ROUND(D16/1000,0)</f>
        <v>3328</v>
      </c>
      <c r="K16" s="157">
        <f t="shared" si="4"/>
        <v>0.26</v>
      </c>
      <c r="L16" s="158">
        <f>J16-'[4]feb.labotais'!J16</f>
        <v>1244</v>
      </c>
      <c r="M16" s="163" t="s">
        <v>241</v>
      </c>
      <c r="N16" s="140">
        <f t="shared" si="1"/>
        <v>3328</v>
      </c>
      <c r="O16" s="140">
        <f>'[4]feb.labotais'!J16</f>
        <v>2084</v>
      </c>
      <c r="P16" s="140"/>
      <c r="Q16" s="140"/>
      <c r="R16" s="147">
        <f t="shared" si="2"/>
        <v>1244</v>
      </c>
    </row>
    <row r="17" spans="1:18" ht="13.5" customHeight="1">
      <c r="A17" s="164" t="s">
        <v>242</v>
      </c>
      <c r="B17" s="156"/>
      <c r="C17" s="165" t="s">
        <v>66</v>
      </c>
      <c r="D17" s="166">
        <f>793750.59-14305.2+1789959.9+1803996.28-110230.89</f>
        <v>4263170.680000001</v>
      </c>
      <c r="E17" s="157" t="str">
        <f t="shared" si="0"/>
        <v> </v>
      </c>
      <c r="F17" s="156"/>
      <c r="G17" s="126" t="s">
        <v>242</v>
      </c>
      <c r="H17" s="6">
        <f>ROUND(B17/1000,0)</f>
        <v>0</v>
      </c>
      <c r="I17" s="167" t="str">
        <f t="shared" si="3"/>
        <v>x</v>
      </c>
      <c r="J17" s="6">
        <f>ROUND(D17/1000,0)</f>
        <v>4263</v>
      </c>
      <c r="K17" s="149">
        <v>0</v>
      </c>
      <c r="L17" s="6">
        <f>J17-'[4]feb.labotais'!J17</f>
        <v>401</v>
      </c>
      <c r="M17" s="126" t="s">
        <v>242</v>
      </c>
      <c r="N17" s="140">
        <f t="shared" si="1"/>
        <v>4263</v>
      </c>
      <c r="O17" s="140">
        <f>'[4]feb.labotais'!J17</f>
        <v>3862</v>
      </c>
      <c r="P17" s="140"/>
      <c r="Q17" s="140"/>
      <c r="R17" s="147">
        <f t="shared" si="2"/>
        <v>401</v>
      </c>
    </row>
    <row r="18" spans="1:18" ht="13.5" customHeight="1">
      <c r="A18" s="151" t="s">
        <v>243</v>
      </c>
      <c r="B18" s="147">
        <f>SUM(B19,B20,B21,B22,B23:B24,B25,B26,,B29)</f>
        <v>59128087</v>
      </c>
      <c r="C18" s="152" t="s">
        <v>244</v>
      </c>
      <c r="D18" s="166">
        <f>SUM(D19,D20,D21,D22,D23,D24,D25,D26,D29)</f>
        <v>13748850.110000001</v>
      </c>
      <c r="E18" s="149">
        <f t="shared" si="0"/>
        <v>0.2325265505376489</v>
      </c>
      <c r="F18" s="147">
        <f>F19+F20+F21+F22+F23+F24+F25+F26+F29</f>
        <v>0</v>
      </c>
      <c r="G18" s="151" t="s">
        <v>243</v>
      </c>
      <c r="H18" s="6">
        <f>SUM(H19,H20,H21,H22,H23:H24,H25,H26,,H29)</f>
        <v>59129</v>
      </c>
      <c r="I18" s="152" t="str">
        <f>C18</f>
        <v>99,61%</v>
      </c>
      <c r="J18" s="6">
        <f>SUM(J19,J20,J21,J22,J23,J24,J25,J26,J29)</f>
        <v>12954</v>
      </c>
      <c r="K18" s="149">
        <f>IF(ISERROR(J18/H18)," ",(J18/H18))</f>
        <v>0.2190803159194304</v>
      </c>
      <c r="L18" s="6">
        <f>L19+L20+L21+L22+L23+L24+L25+L26+L29</f>
        <v>5806</v>
      </c>
      <c r="M18" s="151" t="s">
        <v>243</v>
      </c>
      <c r="N18" s="140">
        <f t="shared" si="1"/>
        <v>12954</v>
      </c>
      <c r="O18" s="140">
        <f>'[4]feb.labotais'!J18</f>
        <v>7148</v>
      </c>
      <c r="P18" s="140"/>
      <c r="Q18" s="140"/>
      <c r="R18" s="147">
        <f t="shared" si="2"/>
        <v>5806</v>
      </c>
    </row>
    <row r="19" spans="1:18" ht="13.5" customHeight="1">
      <c r="A19" s="119" t="s">
        <v>245</v>
      </c>
      <c r="B19" s="156">
        <v>2000000</v>
      </c>
      <c r="C19" s="154">
        <v>0.9961</v>
      </c>
      <c r="D19" s="161">
        <v>27094.16</v>
      </c>
      <c r="E19" s="157">
        <f t="shared" si="0"/>
        <v>0.01354708</v>
      </c>
      <c r="F19" s="156"/>
      <c r="G19" s="119" t="s">
        <v>245</v>
      </c>
      <c r="H19" s="158">
        <f aca="true" t="shared" si="5" ref="H19:H32">ROUND(B19/1000,0)</f>
        <v>2000</v>
      </c>
      <c r="I19" s="159">
        <f t="shared" si="3"/>
        <v>0.9961</v>
      </c>
      <c r="J19" s="158">
        <f>ROUND(D19/1000,0)</f>
        <v>27</v>
      </c>
      <c r="K19" s="157">
        <f t="shared" si="4"/>
        <v>0.0135</v>
      </c>
      <c r="L19" s="158">
        <f>J19-'[4]feb.labotais'!J19</f>
        <v>4</v>
      </c>
      <c r="M19" s="119" t="s">
        <v>245</v>
      </c>
      <c r="N19" s="140">
        <f t="shared" si="1"/>
        <v>27</v>
      </c>
      <c r="O19" s="140">
        <f>'[4]feb.labotais'!J19</f>
        <v>23</v>
      </c>
      <c r="P19" s="140"/>
      <c r="Q19" s="140"/>
      <c r="R19" s="147">
        <f t="shared" si="2"/>
        <v>4</v>
      </c>
    </row>
    <row r="20" spans="1:18" ht="13.5" customHeight="1">
      <c r="A20" s="67" t="s">
        <v>246</v>
      </c>
      <c r="B20" s="156">
        <v>13290534</v>
      </c>
      <c r="C20" s="154">
        <v>0.9961</v>
      </c>
      <c r="D20" s="161">
        <f>773587+1796102.07</f>
        <v>2569689.0700000003</v>
      </c>
      <c r="E20" s="157">
        <f>IF(ISERROR(D20/B20)," ",(D20/B20))</f>
        <v>0.19334731546527778</v>
      </c>
      <c r="F20" s="156"/>
      <c r="G20" s="67" t="s">
        <v>246</v>
      </c>
      <c r="H20" s="158">
        <f t="shared" si="5"/>
        <v>13291</v>
      </c>
      <c r="I20" s="159">
        <f t="shared" si="3"/>
        <v>0.9961</v>
      </c>
      <c r="J20" s="158">
        <f>ROUND(D20/1000,0)</f>
        <v>2570</v>
      </c>
      <c r="K20" s="157">
        <f t="shared" si="4"/>
        <v>0.1933639304792717</v>
      </c>
      <c r="L20" s="158">
        <f>J20-'[4]feb.labotais'!J20</f>
        <v>848</v>
      </c>
      <c r="M20" s="67" t="s">
        <v>246</v>
      </c>
      <c r="N20" s="140">
        <f t="shared" si="1"/>
        <v>2570</v>
      </c>
      <c r="O20" s="140">
        <f>'[4]feb.labotais'!J20</f>
        <v>1722</v>
      </c>
      <c r="P20" s="140"/>
      <c r="Q20" s="140"/>
      <c r="R20" s="147">
        <f t="shared" si="2"/>
        <v>848</v>
      </c>
    </row>
    <row r="21" spans="1:18" ht="25.5" customHeight="1">
      <c r="A21" s="119" t="s">
        <v>247</v>
      </c>
      <c r="B21" s="156">
        <v>16082167</v>
      </c>
      <c r="C21" s="154">
        <v>0.9961</v>
      </c>
      <c r="D21" s="161">
        <f>3476407.06+403586.19+36161.79+23300.68</f>
        <v>3939455.72</v>
      </c>
      <c r="E21" s="157">
        <f>IF(ISERROR(D21/B21)," ",(D21/B21))</f>
        <v>0.24495801591912336</v>
      </c>
      <c r="F21" s="156"/>
      <c r="G21" s="119" t="s">
        <v>247</v>
      </c>
      <c r="H21" s="158">
        <f t="shared" si="5"/>
        <v>16082</v>
      </c>
      <c r="I21" s="159">
        <f t="shared" si="3"/>
        <v>0.9961</v>
      </c>
      <c r="J21" s="158">
        <f>ROUND(D21/1000,0)-794</f>
        <v>3145</v>
      </c>
      <c r="K21" s="157">
        <f t="shared" si="4"/>
        <v>0.19556025369978858</v>
      </c>
      <c r="L21" s="158">
        <f>J21-'[4]feb.labotais'!J21</f>
        <v>1110</v>
      </c>
      <c r="M21" s="119" t="s">
        <v>247</v>
      </c>
      <c r="N21" s="140">
        <f t="shared" si="1"/>
        <v>3145</v>
      </c>
      <c r="O21" s="140">
        <f>'[4]feb.labotais'!J21</f>
        <v>2035</v>
      </c>
      <c r="P21" s="140"/>
      <c r="Q21" s="140"/>
      <c r="R21" s="147">
        <f t="shared" si="2"/>
        <v>1110</v>
      </c>
    </row>
    <row r="22" spans="1:18" ht="27" customHeight="1">
      <c r="A22" s="119" t="s">
        <v>248</v>
      </c>
      <c r="B22" s="156">
        <v>705500</v>
      </c>
      <c r="C22" s="154">
        <v>0.9961</v>
      </c>
      <c r="D22" s="161">
        <v>129195.8</v>
      </c>
      <c r="E22" s="157">
        <f t="shared" si="0"/>
        <v>0.18312657689581857</v>
      </c>
      <c r="F22" s="156"/>
      <c r="G22" s="119" t="s">
        <v>248</v>
      </c>
      <c r="H22" s="158">
        <f>ROUND(B22/1000,0)</f>
        <v>706</v>
      </c>
      <c r="I22" s="159">
        <f t="shared" si="3"/>
        <v>0.9961</v>
      </c>
      <c r="J22" s="158">
        <f>ROUND(D22/1000,0)</f>
        <v>129</v>
      </c>
      <c r="K22" s="157">
        <f>IF(ISERROR(ROUND(J22,0)/ROUND(H22,0))," ",(ROUND(J22,)/ROUND(H22,)))</f>
        <v>0.18271954674220964</v>
      </c>
      <c r="L22" s="158">
        <f>J22-'[4]feb.labotais'!J22</f>
        <v>48</v>
      </c>
      <c r="M22" s="119" t="s">
        <v>248</v>
      </c>
      <c r="N22" s="140">
        <f t="shared" si="1"/>
        <v>129</v>
      </c>
      <c r="O22" s="140">
        <f>'[4]feb.labotais'!J22</f>
        <v>81</v>
      </c>
      <c r="P22" s="140"/>
      <c r="Q22" s="140"/>
      <c r="R22" s="147">
        <f t="shared" si="2"/>
        <v>48</v>
      </c>
    </row>
    <row r="23" spans="1:18" ht="13.5" customHeight="1">
      <c r="A23" s="119" t="s">
        <v>249</v>
      </c>
      <c r="B23" s="156">
        <v>3165885</v>
      </c>
      <c r="C23" s="154">
        <v>0.9961</v>
      </c>
      <c r="D23" s="161">
        <f>793750.59+15436.07+409352.98+65280</f>
        <v>1283819.64</v>
      </c>
      <c r="E23" s="157">
        <f t="shared" si="0"/>
        <v>0.40551682704836084</v>
      </c>
      <c r="F23" s="156"/>
      <c r="G23" s="119" t="s">
        <v>250</v>
      </c>
      <c r="H23" s="158">
        <f>ROUND(B23/1000,0)</f>
        <v>3166</v>
      </c>
      <c r="I23" s="159">
        <f>C23</f>
        <v>0.9961</v>
      </c>
      <c r="J23" s="158">
        <f>ROUND(D23/1000,0)</f>
        <v>1284</v>
      </c>
      <c r="K23" s="157">
        <f>IF(ISERROR(ROUND(J23,0)/ROUND(H23,0))," ",(ROUND(J23,)/ROUND(H23,)))</f>
        <v>0.40555906506632977</v>
      </c>
      <c r="L23" s="158">
        <f>J23-'[4]feb.labotais'!J23</f>
        <v>437</v>
      </c>
      <c r="M23" s="119" t="s">
        <v>249</v>
      </c>
      <c r="N23" s="140">
        <f t="shared" si="1"/>
        <v>1284</v>
      </c>
      <c r="O23" s="140">
        <f>'[4]feb.labotais'!J23</f>
        <v>847</v>
      </c>
      <c r="P23" s="140"/>
      <c r="Q23" s="140"/>
      <c r="R23" s="147">
        <f t="shared" si="2"/>
        <v>437</v>
      </c>
    </row>
    <row r="24" spans="1:18" ht="13.5" customHeight="1">
      <c r="A24" s="119" t="s">
        <v>251</v>
      </c>
      <c r="B24" s="156">
        <v>600000</v>
      </c>
      <c r="C24" s="154">
        <v>0.9961</v>
      </c>
      <c r="D24" s="161">
        <v>121232.3</v>
      </c>
      <c r="E24" s="157">
        <f t="shared" si="0"/>
        <v>0.20205383333333335</v>
      </c>
      <c r="F24" s="156"/>
      <c r="G24" s="119" t="s">
        <v>252</v>
      </c>
      <c r="H24" s="158">
        <f t="shared" si="5"/>
        <v>600</v>
      </c>
      <c r="I24" s="159">
        <f t="shared" si="3"/>
        <v>0.9961</v>
      </c>
      <c r="J24" s="158">
        <f aca="true" t="shared" si="6" ref="J24:J30">ROUND(D24/1000,0)</f>
        <v>121</v>
      </c>
      <c r="K24" s="157">
        <f t="shared" si="4"/>
        <v>0.20166666666666666</v>
      </c>
      <c r="L24" s="158">
        <f>J24-'[4]feb.labotais'!J24</f>
        <v>41</v>
      </c>
      <c r="M24" s="119" t="s">
        <v>252</v>
      </c>
      <c r="N24" s="140">
        <f t="shared" si="1"/>
        <v>121</v>
      </c>
      <c r="O24" s="140">
        <f>'[4]feb.labotais'!J24</f>
        <v>80</v>
      </c>
      <c r="P24" s="140"/>
      <c r="Q24" s="140"/>
      <c r="R24" s="147">
        <f t="shared" si="2"/>
        <v>41</v>
      </c>
    </row>
    <row r="25" spans="1:18" ht="13.5" customHeight="1">
      <c r="A25" s="67" t="s">
        <v>253</v>
      </c>
      <c r="B25" s="156">
        <v>8064000</v>
      </c>
      <c r="C25" s="154">
        <v>0.9961</v>
      </c>
      <c r="D25" s="161">
        <v>2146924.39</v>
      </c>
      <c r="E25" s="157">
        <f t="shared" si="0"/>
        <v>0.26623566344246036</v>
      </c>
      <c r="F25" s="156"/>
      <c r="G25" s="67" t="s">
        <v>253</v>
      </c>
      <c r="H25" s="158">
        <f t="shared" si="5"/>
        <v>8064</v>
      </c>
      <c r="I25" s="159">
        <f t="shared" si="3"/>
        <v>0.9961</v>
      </c>
      <c r="J25" s="158">
        <f t="shared" si="6"/>
        <v>2147</v>
      </c>
      <c r="K25" s="157">
        <f t="shared" si="4"/>
        <v>0.2662450396825397</v>
      </c>
      <c r="L25" s="158">
        <f>J25-'[4]feb.labotais'!J25</f>
        <v>896</v>
      </c>
      <c r="M25" s="67" t="s">
        <v>253</v>
      </c>
      <c r="N25" s="140">
        <f t="shared" si="1"/>
        <v>2147</v>
      </c>
      <c r="O25" s="140">
        <f>'[4]feb.labotais'!J25</f>
        <v>1251</v>
      </c>
      <c r="P25" s="140"/>
      <c r="Q25" s="140"/>
      <c r="R25" s="147">
        <f t="shared" si="2"/>
        <v>896</v>
      </c>
    </row>
    <row r="26" spans="1:18" ht="13.5" customHeight="1">
      <c r="A26" s="67" t="s">
        <v>254</v>
      </c>
      <c r="B26" s="156">
        <v>14992001</v>
      </c>
      <c r="C26" s="154">
        <v>0.9961</v>
      </c>
      <c r="D26" s="161">
        <f>1969.18+301.95+1059442.99+2248276.1+49.2+700.2+122609.52</f>
        <v>3433349.14</v>
      </c>
      <c r="E26" s="157">
        <f t="shared" si="0"/>
        <v>0.22901206716835198</v>
      </c>
      <c r="F26" s="156"/>
      <c r="G26" s="67" t="s">
        <v>254</v>
      </c>
      <c r="H26" s="158">
        <f t="shared" si="5"/>
        <v>14992</v>
      </c>
      <c r="I26" s="159">
        <f t="shared" si="3"/>
        <v>0.9961</v>
      </c>
      <c r="J26" s="158">
        <f t="shared" si="6"/>
        <v>3433</v>
      </c>
      <c r="K26" s="157">
        <f t="shared" si="4"/>
        <v>0.2289887940234792</v>
      </c>
      <c r="L26" s="158">
        <f>J26-'[4]feb.labotais'!J26</f>
        <v>2324</v>
      </c>
      <c r="M26" s="67" t="s">
        <v>254</v>
      </c>
      <c r="N26" s="140">
        <f t="shared" si="1"/>
        <v>3433</v>
      </c>
      <c r="O26" s="140">
        <f>'[4]feb.labotais'!J26</f>
        <v>1109</v>
      </c>
      <c r="P26" s="140"/>
      <c r="Q26" s="140"/>
      <c r="R26" s="147">
        <f t="shared" si="2"/>
        <v>2324</v>
      </c>
    </row>
    <row r="27" spans="1:18" ht="51" customHeight="1">
      <c r="A27" s="168" t="s">
        <v>255</v>
      </c>
      <c r="B27" s="169">
        <v>1201200</v>
      </c>
      <c r="C27" s="154">
        <v>0.9961</v>
      </c>
      <c r="D27" s="161">
        <v>200200</v>
      </c>
      <c r="E27" s="170">
        <f>IF(ISERROR(D27/B27)," ",(D27/B27))</f>
        <v>0.16666666666666666</v>
      </c>
      <c r="F27" s="156"/>
      <c r="G27" s="171" t="s">
        <v>256</v>
      </c>
      <c r="H27" s="172">
        <f t="shared" si="5"/>
        <v>1201</v>
      </c>
      <c r="I27" s="173">
        <f>C27</f>
        <v>0.9961</v>
      </c>
      <c r="J27" s="158">
        <f t="shared" si="6"/>
        <v>200</v>
      </c>
      <c r="K27" s="174">
        <f>IF(ISERROR(ROUND(J27,0)/ROUND(H27,0))," ",(ROUND(J27,)/ROUND(H27,)))</f>
        <v>0.16652789342214822</v>
      </c>
      <c r="L27" s="158">
        <f>J27-'[4]feb.labotais'!J27</f>
        <v>0</v>
      </c>
      <c r="M27" s="171" t="s">
        <v>256</v>
      </c>
      <c r="N27" s="140">
        <f t="shared" si="1"/>
        <v>200</v>
      </c>
      <c r="O27" s="140">
        <f>'[4]feb.labotais'!J27</f>
        <v>200</v>
      </c>
      <c r="P27" s="140"/>
      <c r="Q27" s="140"/>
      <c r="R27" s="147">
        <f t="shared" si="2"/>
        <v>0</v>
      </c>
    </row>
    <row r="28" spans="1:18" ht="13.5" customHeight="1">
      <c r="A28" s="175" t="s">
        <v>257</v>
      </c>
      <c r="B28" s="169">
        <f>B26-B27</f>
        <v>13790801</v>
      </c>
      <c r="C28" s="154">
        <v>0.9961</v>
      </c>
      <c r="D28" s="169">
        <f>D26-D27</f>
        <v>3233149.14</v>
      </c>
      <c r="E28" s="170">
        <f t="shared" si="0"/>
        <v>0.23444244754166202</v>
      </c>
      <c r="F28" s="156"/>
      <c r="G28" s="171" t="s">
        <v>257</v>
      </c>
      <c r="H28" s="172">
        <f t="shared" si="5"/>
        <v>13791</v>
      </c>
      <c r="I28" s="173">
        <f t="shared" si="3"/>
        <v>0.9961</v>
      </c>
      <c r="J28" s="158">
        <f t="shared" si="6"/>
        <v>3233</v>
      </c>
      <c r="K28" s="174">
        <f t="shared" si="4"/>
        <v>0.234428250308172</v>
      </c>
      <c r="L28" s="158">
        <f>J28-'[4]feb.labotais'!J28</f>
        <v>2324</v>
      </c>
      <c r="M28" s="171" t="s">
        <v>257</v>
      </c>
      <c r="N28" s="140">
        <f t="shared" si="1"/>
        <v>3233</v>
      </c>
      <c r="O28" s="140">
        <f>'[4]feb.labotais'!J28</f>
        <v>909</v>
      </c>
      <c r="P28" s="140"/>
      <c r="Q28" s="140"/>
      <c r="R28" s="147">
        <f t="shared" si="2"/>
        <v>2324</v>
      </c>
    </row>
    <row r="29" spans="1:18" ht="13.5" customHeight="1">
      <c r="A29" s="119" t="s">
        <v>258</v>
      </c>
      <c r="B29" s="156">
        <f>B30</f>
        <v>228000</v>
      </c>
      <c r="C29" s="154">
        <v>0</v>
      </c>
      <c r="D29" s="156">
        <v>98089.89</v>
      </c>
      <c r="E29" s="170">
        <f t="shared" si="0"/>
        <v>0.4302188157894737</v>
      </c>
      <c r="F29" s="156"/>
      <c r="G29" s="119" t="s">
        <v>258</v>
      </c>
      <c r="H29" s="172">
        <f t="shared" si="5"/>
        <v>228</v>
      </c>
      <c r="I29" s="159">
        <f t="shared" si="3"/>
        <v>0</v>
      </c>
      <c r="J29" s="158">
        <f t="shared" si="6"/>
        <v>98</v>
      </c>
      <c r="K29" s="157">
        <f t="shared" si="4"/>
        <v>0.4298245614035088</v>
      </c>
      <c r="L29" s="158">
        <f>J29-'[4]feb.labotais'!J29</f>
        <v>98</v>
      </c>
      <c r="M29" s="119" t="s">
        <v>258</v>
      </c>
      <c r="N29" s="140">
        <f t="shared" si="1"/>
        <v>98</v>
      </c>
      <c r="O29" s="140">
        <f>'[4]feb.labotais'!J29</f>
        <v>0</v>
      </c>
      <c r="P29" s="140"/>
      <c r="Q29" s="140"/>
      <c r="R29" s="147">
        <f t="shared" si="2"/>
        <v>98</v>
      </c>
    </row>
    <row r="30" spans="1:18" ht="27.75" customHeight="1">
      <c r="A30" s="171" t="s">
        <v>259</v>
      </c>
      <c r="B30" s="156">
        <v>228000</v>
      </c>
      <c r="C30" s="154">
        <v>0.9961</v>
      </c>
      <c r="D30" s="156"/>
      <c r="E30" s="157">
        <f t="shared" si="0"/>
        <v>0</v>
      </c>
      <c r="F30" s="156">
        <f>D30-'[4]Janvāris'!F29</f>
        <v>0</v>
      </c>
      <c r="G30" s="171" t="s">
        <v>259</v>
      </c>
      <c r="H30" s="172">
        <f t="shared" si="5"/>
        <v>228</v>
      </c>
      <c r="I30" s="176">
        <v>0</v>
      </c>
      <c r="J30" s="158">
        <f t="shared" si="6"/>
        <v>0</v>
      </c>
      <c r="K30" s="157">
        <f>IF(ISERROR(J30/H30)," ",(J30/H30))</f>
        <v>0</v>
      </c>
      <c r="L30" s="158">
        <f>J30-'[4]feb.labotais'!J30</f>
        <v>0</v>
      </c>
      <c r="M30" s="171" t="s">
        <v>259</v>
      </c>
      <c r="N30" s="140">
        <f t="shared" si="1"/>
        <v>0</v>
      </c>
      <c r="O30" s="140">
        <f>'[4]feb.labotais'!J30</f>
        <v>0</v>
      </c>
      <c r="P30" s="140"/>
      <c r="Q30" s="140"/>
      <c r="R30" s="147">
        <f t="shared" si="2"/>
        <v>0</v>
      </c>
    </row>
    <row r="31" spans="1:18" ht="13.5" customHeight="1">
      <c r="A31" s="177" t="s">
        <v>260</v>
      </c>
      <c r="B31" s="147">
        <f>SUM(B32)</f>
        <v>59260125</v>
      </c>
      <c r="C31" s="154">
        <v>1</v>
      </c>
      <c r="D31" s="147">
        <f>SUM(D32)</f>
        <v>13599658.58</v>
      </c>
      <c r="E31" s="149">
        <f t="shared" si="0"/>
        <v>0.22949088581909</v>
      </c>
      <c r="F31" s="147">
        <f>F32</f>
        <v>0</v>
      </c>
      <c r="G31" s="177" t="s">
        <v>260</v>
      </c>
      <c r="H31" s="178">
        <f t="shared" si="5"/>
        <v>59260</v>
      </c>
      <c r="I31" s="179">
        <f>C31</f>
        <v>1</v>
      </c>
      <c r="J31" s="178">
        <f>ROUND(D31/1000,0)</f>
        <v>13600</v>
      </c>
      <c r="K31" s="149">
        <f>IF(ISERROR(J31/H31)," ",(J31/H31))</f>
        <v>0.2294971312858589</v>
      </c>
      <c r="L31" s="158">
        <f>J31-'[4]feb.labotais'!J31</f>
        <v>4600</v>
      </c>
      <c r="M31" s="177" t="s">
        <v>260</v>
      </c>
      <c r="N31" s="140">
        <f t="shared" si="1"/>
        <v>13600</v>
      </c>
      <c r="O31" s="140">
        <f>'[4]feb.labotais'!J31</f>
        <v>9000</v>
      </c>
      <c r="P31" s="140"/>
      <c r="Q31" s="140"/>
      <c r="R31" s="147">
        <f t="shared" si="2"/>
        <v>4600</v>
      </c>
    </row>
    <row r="32" spans="1:18" ht="24.75" customHeight="1">
      <c r="A32" s="119" t="s">
        <v>261</v>
      </c>
      <c r="B32" s="156">
        <v>59260125</v>
      </c>
      <c r="C32" s="154">
        <v>1</v>
      </c>
      <c r="D32" s="156">
        <v>13599658.58</v>
      </c>
      <c r="E32" s="157">
        <f t="shared" si="0"/>
        <v>0.22949088581909</v>
      </c>
      <c r="F32" s="156"/>
      <c r="G32" s="119" t="s">
        <v>261</v>
      </c>
      <c r="H32" s="172">
        <f t="shared" si="5"/>
        <v>59260</v>
      </c>
      <c r="I32" s="174">
        <f>C32</f>
        <v>1</v>
      </c>
      <c r="J32" s="172">
        <f>ROUND(D32/1000,0)</f>
        <v>13600</v>
      </c>
      <c r="K32" s="157">
        <f>IF(ISERROR(J32/H32)," ",(J32/H32))</f>
        <v>0.2294971312858589</v>
      </c>
      <c r="L32" s="158">
        <f>J32-'[4]feb.labotais'!J32</f>
        <v>4600</v>
      </c>
      <c r="M32" s="119" t="s">
        <v>261</v>
      </c>
      <c r="N32" s="140">
        <f t="shared" si="1"/>
        <v>13600</v>
      </c>
      <c r="O32" s="140">
        <f>'[4]feb.labotais'!J32</f>
        <v>9000</v>
      </c>
      <c r="P32" s="140"/>
      <c r="Q32" s="140"/>
      <c r="R32" s="147">
        <f t="shared" si="2"/>
        <v>4600</v>
      </c>
    </row>
    <row r="33" spans="1:18" ht="21" customHeight="1">
      <c r="A33" s="177" t="s">
        <v>262</v>
      </c>
      <c r="B33" s="147">
        <v>31643057</v>
      </c>
      <c r="C33" s="154">
        <v>1</v>
      </c>
      <c r="D33" s="166">
        <f>10608076.71-154760</f>
        <v>10453316.71</v>
      </c>
      <c r="E33" s="157">
        <f t="shared" si="0"/>
        <v>0.3303510375119572</v>
      </c>
      <c r="F33" s="156"/>
      <c r="G33" s="177" t="s">
        <v>263</v>
      </c>
      <c r="H33" s="178">
        <f>ROUND(B33/1000,0)</f>
        <v>31643</v>
      </c>
      <c r="I33" s="179">
        <f>C33</f>
        <v>1</v>
      </c>
      <c r="J33" s="178">
        <f>ROUND(D33/1000,0)</f>
        <v>10453</v>
      </c>
      <c r="K33" s="157">
        <f>IF(ISERROR(J33/H33)," ",(J33/H33))</f>
        <v>0.33034162373984766</v>
      </c>
      <c r="L33" s="158">
        <f>J33-'[4]feb.labotais'!J33</f>
        <v>400</v>
      </c>
      <c r="M33" s="177" t="s">
        <v>263</v>
      </c>
      <c r="N33" s="140">
        <f t="shared" si="1"/>
        <v>10453</v>
      </c>
      <c r="O33" s="140">
        <f>'[4]feb.labotais'!J33</f>
        <v>10053</v>
      </c>
      <c r="P33" s="140"/>
      <c r="Q33" s="140"/>
      <c r="R33" s="147">
        <f t="shared" si="2"/>
        <v>400</v>
      </c>
    </row>
    <row r="34" spans="1:18" ht="13.5" customHeight="1">
      <c r="A34" s="180"/>
      <c r="B34" s="181"/>
      <c r="C34" s="182"/>
      <c r="D34" s="183"/>
      <c r="E34" s="184"/>
      <c r="F34" s="183"/>
      <c r="G34" s="180"/>
      <c r="H34" s="181"/>
      <c r="I34" s="185"/>
      <c r="J34" s="183"/>
      <c r="K34" s="184"/>
      <c r="L34" s="183"/>
      <c r="M34" s="180"/>
      <c r="N34" s="181"/>
      <c r="O34" s="185"/>
      <c r="P34" s="183"/>
      <c r="Q34" s="184"/>
      <c r="R34" s="183"/>
    </row>
    <row r="35" spans="1:18" ht="13.5" customHeight="1">
      <c r="A35" s="186" t="s">
        <v>264</v>
      </c>
      <c r="B35" s="183"/>
      <c r="C35" s="182"/>
      <c r="D35" s="183"/>
      <c r="E35" s="184"/>
      <c r="F35" s="44"/>
      <c r="G35" s="186" t="s">
        <v>265</v>
      </c>
      <c r="H35" s="183"/>
      <c r="I35" s="185"/>
      <c r="J35" s="183"/>
      <c r="K35" s="184"/>
      <c r="L35" s="44"/>
      <c r="M35" s="186" t="s">
        <v>266</v>
      </c>
      <c r="N35" s="183"/>
      <c r="O35" s="185"/>
      <c r="P35" s="183"/>
      <c r="Q35" s="184"/>
      <c r="R35" s="44"/>
    </row>
    <row r="36" spans="1:18" ht="13.5" customHeight="1">
      <c r="A36" s="186" t="s">
        <v>267</v>
      </c>
      <c r="B36" s="183"/>
      <c r="C36" s="182"/>
      <c r="D36" s="183"/>
      <c r="E36" s="184"/>
      <c r="F36" s="44"/>
      <c r="G36" s="186" t="s">
        <v>268</v>
      </c>
      <c r="H36" s="183"/>
      <c r="I36" s="185"/>
      <c r="J36" s="183"/>
      <c r="K36" s="184"/>
      <c r="L36" s="44"/>
      <c r="M36" s="186" t="s">
        <v>269</v>
      </c>
      <c r="N36" s="183"/>
      <c r="O36" s="185"/>
      <c r="P36" s="183"/>
      <c r="Q36" s="184"/>
      <c r="R36" s="44"/>
    </row>
    <row r="37" spans="1:18" ht="13.5" customHeight="1">
      <c r="A37" s="187" t="s">
        <v>270</v>
      </c>
      <c r="B37" s="188"/>
      <c r="C37" s="137"/>
      <c r="D37" s="189"/>
      <c r="E37" s="189"/>
      <c r="F37" s="44"/>
      <c r="G37" s="190" t="s">
        <v>271</v>
      </c>
      <c r="H37" s="191"/>
      <c r="I37" s="34"/>
      <c r="J37" s="189"/>
      <c r="K37" s="189"/>
      <c r="L37" s="44"/>
      <c r="M37" s="186" t="s">
        <v>272</v>
      </c>
      <c r="N37" s="34"/>
      <c r="O37" s="34"/>
      <c r="P37" s="189"/>
      <c r="Q37" s="189"/>
      <c r="R37" s="44"/>
    </row>
    <row r="38" spans="1:18" ht="13.5" customHeight="1">
      <c r="A38" s="192" t="s">
        <v>273</v>
      </c>
      <c r="C38" s="193"/>
      <c r="E38" s="194"/>
      <c r="F38" s="44"/>
      <c r="G38" s="192"/>
      <c r="K38" s="194"/>
      <c r="L38" s="44"/>
      <c r="M38" s="192" t="s">
        <v>274</v>
      </c>
      <c r="Q38" s="194"/>
      <c r="R38" s="44"/>
    </row>
    <row r="39" spans="1:18" ht="13.5" customHeight="1">
      <c r="A39" s="186"/>
      <c r="B39" s="29"/>
      <c r="C39" s="135"/>
      <c r="D39" s="30"/>
      <c r="E39" s="194"/>
      <c r="F39" s="44"/>
      <c r="G39" s="44"/>
      <c r="H39" s="44"/>
      <c r="I39" s="44"/>
      <c r="J39" s="44"/>
      <c r="K39" s="194"/>
      <c r="L39" s="44"/>
      <c r="M39" s="44"/>
      <c r="N39" s="44"/>
      <c r="O39" s="44"/>
      <c r="P39" s="44"/>
      <c r="Q39" s="194"/>
      <c r="R39" s="44"/>
    </row>
    <row r="40" spans="2:18" ht="13.5" customHeight="1">
      <c r="B40" s="44"/>
      <c r="C40" s="13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2:18" ht="13.5" customHeight="1">
      <c r="B41" s="44"/>
      <c r="C41" s="135"/>
      <c r="D41" s="44"/>
      <c r="E41" s="44"/>
      <c r="F41" s="44"/>
      <c r="H41" s="44"/>
      <c r="I41" s="44"/>
      <c r="J41" s="44"/>
      <c r="K41" s="44"/>
      <c r="L41" s="44"/>
      <c r="N41" s="44"/>
      <c r="O41" s="44"/>
      <c r="P41" s="44"/>
      <c r="Q41" s="44"/>
      <c r="R41" s="44"/>
    </row>
    <row r="42" spans="1:18" ht="13.5" customHeight="1">
      <c r="A42" s="44" t="s">
        <v>275</v>
      </c>
      <c r="B42" s="29"/>
      <c r="C42" s="135"/>
      <c r="D42" s="30"/>
      <c r="E42" s="44"/>
      <c r="F42" s="44"/>
      <c r="G42" s="44" t="s">
        <v>275</v>
      </c>
      <c r="H42" s="44"/>
      <c r="I42" s="44"/>
      <c r="J42" s="44"/>
      <c r="K42" s="44"/>
      <c r="L42" s="44"/>
      <c r="M42" s="44" t="s">
        <v>275</v>
      </c>
      <c r="N42" s="44"/>
      <c r="O42" s="44"/>
      <c r="P42" s="44"/>
      <c r="Q42" s="44"/>
      <c r="R42" s="44"/>
    </row>
    <row r="43" spans="2:18" ht="13.5" customHeight="1">
      <c r="B43" s="44"/>
      <c r="C43" s="135"/>
      <c r="D43" s="44"/>
      <c r="E43" s="44"/>
      <c r="F43" s="44"/>
      <c r="H43" s="44"/>
      <c r="I43" s="44"/>
      <c r="J43" s="44"/>
      <c r="K43" s="44"/>
      <c r="L43" s="44"/>
      <c r="N43" s="44"/>
      <c r="O43" s="44"/>
      <c r="P43" s="44"/>
      <c r="Q43" s="44"/>
      <c r="R43" s="44"/>
    </row>
    <row r="44" spans="1:18" ht="13.5" customHeight="1">
      <c r="A44" s="44"/>
      <c r="B44" s="44"/>
      <c r="C44" s="135"/>
      <c r="D44" s="44"/>
      <c r="E44" s="44"/>
      <c r="F44" s="44"/>
      <c r="H44" s="44"/>
      <c r="I44" s="44"/>
      <c r="J44" s="44"/>
      <c r="K44" s="44"/>
      <c r="L44" s="44"/>
      <c r="N44" s="44"/>
      <c r="O44" s="44"/>
      <c r="P44" s="44"/>
      <c r="Q44" s="44"/>
      <c r="R44" s="44"/>
    </row>
    <row r="45" spans="1:18" ht="13.5" customHeight="1">
      <c r="A45" s="44" t="s">
        <v>142</v>
      </c>
      <c r="B45" s="44"/>
      <c r="C45" s="135"/>
      <c r="D45" s="44"/>
      <c r="E45" s="44"/>
      <c r="F45" s="44"/>
      <c r="G45" s="44" t="s">
        <v>142</v>
      </c>
      <c r="H45" s="44"/>
      <c r="I45" s="44"/>
      <c r="J45" s="44"/>
      <c r="K45" s="44"/>
      <c r="L45" s="44"/>
      <c r="O45" s="44"/>
      <c r="P45" s="44"/>
      <c r="Q45" s="44"/>
      <c r="R45" s="44"/>
    </row>
    <row r="46" spans="1:18" ht="13.5" customHeight="1">
      <c r="A46" s="44" t="s">
        <v>276</v>
      </c>
      <c r="B46" s="44"/>
      <c r="C46" s="135"/>
      <c r="D46" s="44"/>
      <c r="E46" s="44"/>
      <c r="F46" s="44"/>
      <c r="G46" s="44" t="s">
        <v>101</v>
      </c>
      <c r="H46" s="44"/>
      <c r="I46" s="44"/>
      <c r="J46" s="44"/>
      <c r="K46" s="44"/>
      <c r="L46" s="44"/>
      <c r="O46" s="44"/>
      <c r="P46" s="44"/>
      <c r="Q46" s="44"/>
      <c r="R46" s="44"/>
    </row>
    <row r="47" spans="3:18" ht="13.5" customHeight="1">
      <c r="C47" s="193"/>
      <c r="G47" s="195"/>
      <c r="H47" s="44"/>
      <c r="I47" s="44"/>
      <c r="J47" s="44"/>
      <c r="K47" s="44"/>
      <c r="L47" s="44"/>
      <c r="N47" s="44"/>
      <c r="O47" s="44"/>
      <c r="P47" s="44"/>
      <c r="Q47" s="44"/>
      <c r="R47" s="44"/>
    </row>
    <row r="48" spans="13:14" ht="13.5" customHeight="1">
      <c r="M48" s="44" t="s">
        <v>142</v>
      </c>
      <c r="N48" s="44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mergeCells count="2">
    <mergeCell ref="G4:L4"/>
    <mergeCell ref="M4:R4"/>
  </mergeCells>
  <printOptions/>
  <pageMargins left="0.75" right="0.17" top="0.74" bottom="0.16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105"/>
  <sheetViews>
    <sheetView workbookViewId="0" topLeftCell="H1">
      <selection activeCell="J108" sqref="J108"/>
    </sheetView>
  </sheetViews>
  <sheetFormatPr defaultColWidth="9.140625" defaultRowHeight="12.75"/>
  <cols>
    <col min="1" max="1" width="28.00390625" style="44" hidden="1" customWidth="1"/>
    <col min="2" max="2" width="10.57421875" style="44" hidden="1" customWidth="1"/>
    <col min="3" max="3" width="12.421875" style="44" hidden="1" customWidth="1"/>
    <col min="4" max="4" width="10.421875" style="44" hidden="1" customWidth="1"/>
    <col min="5" max="5" width="5.28125" style="44" hidden="1" customWidth="1"/>
    <col min="6" max="6" width="10.28125" style="44" hidden="1" customWidth="1"/>
    <col min="7" max="7" width="12.00390625" style="44" hidden="1" customWidth="1"/>
    <col min="8" max="8" width="28.57421875" style="44" customWidth="1"/>
    <col min="9" max="9" width="11.7109375" style="44" customWidth="1"/>
    <col min="10" max="10" width="10.57421875" style="44" customWidth="1"/>
    <col min="11" max="12" width="8.140625" style="44" customWidth="1"/>
    <col min="13" max="13" width="11.7109375" style="44" customWidth="1"/>
    <col min="14" max="14" width="9.7109375" style="44" customWidth="1"/>
    <col min="15" max="15" width="28.28125" style="44" hidden="1" customWidth="1"/>
    <col min="16" max="18" width="11.421875" style="44" hidden="1" customWidth="1"/>
    <col min="19" max="31" width="11.421875" style="0" customWidth="1"/>
    <col min="32" max="16384" width="11.421875" style="44" customWidth="1"/>
  </cols>
  <sheetData>
    <row r="1" spans="1:14" ht="17.25" customHeight="1">
      <c r="A1" s="32" t="s">
        <v>102</v>
      </c>
      <c r="B1" s="32"/>
      <c r="C1" s="32"/>
      <c r="D1" s="32"/>
      <c r="E1" s="32"/>
      <c r="F1" s="32"/>
      <c r="G1" s="44" t="s">
        <v>277</v>
      </c>
      <c r="H1" s="32" t="s">
        <v>102</v>
      </c>
      <c r="I1" s="32"/>
      <c r="J1" s="32"/>
      <c r="K1" s="32"/>
      <c r="L1" s="32"/>
      <c r="M1" s="32"/>
      <c r="N1" s="44" t="s">
        <v>277</v>
      </c>
    </row>
    <row r="2" spans="1:13" ht="20.25" customHeight="1">
      <c r="A2" s="32"/>
      <c r="B2" s="32"/>
      <c r="C2" s="32"/>
      <c r="D2" s="32"/>
      <c r="E2" s="32"/>
      <c r="F2" s="32"/>
      <c r="H2" s="32"/>
      <c r="I2" s="32"/>
      <c r="J2" s="32"/>
      <c r="K2" s="32"/>
      <c r="L2" s="32"/>
      <c r="M2" s="32"/>
    </row>
    <row r="3" spans="1:13" ht="18.75" customHeight="1">
      <c r="A3" s="138" t="s">
        <v>278</v>
      </c>
      <c r="B3" s="32"/>
      <c r="C3" s="32"/>
      <c r="D3" s="32"/>
      <c r="E3" s="32"/>
      <c r="F3" s="32"/>
      <c r="H3" s="45" t="s">
        <v>279</v>
      </c>
      <c r="I3" s="196"/>
      <c r="J3" s="196"/>
      <c r="K3" s="196"/>
      <c r="L3" s="196"/>
      <c r="M3" s="196"/>
    </row>
    <row r="4" spans="1:13" ht="19.5" customHeight="1">
      <c r="A4" s="695" t="s">
        <v>280</v>
      </c>
      <c r="B4" s="695"/>
      <c r="C4" s="695"/>
      <c r="D4" s="695"/>
      <c r="E4" s="695"/>
      <c r="F4" s="695"/>
      <c r="G4" s="81"/>
      <c r="H4" s="696" t="s">
        <v>280</v>
      </c>
      <c r="I4" s="696"/>
      <c r="J4" s="696"/>
      <c r="K4" s="696"/>
      <c r="L4" s="696"/>
      <c r="M4" s="696"/>
    </row>
    <row r="5" spans="1:13" ht="19.5" customHeight="1">
      <c r="A5" s="694" t="s">
        <v>281</v>
      </c>
      <c r="B5" s="694"/>
      <c r="C5" s="694"/>
      <c r="D5" s="694"/>
      <c r="E5" s="694"/>
      <c r="F5" s="694"/>
      <c r="G5" s="81"/>
      <c r="H5" s="694" t="s">
        <v>281</v>
      </c>
      <c r="I5" s="694"/>
      <c r="J5" s="694"/>
      <c r="K5" s="694"/>
      <c r="L5" s="694"/>
      <c r="M5" s="694"/>
    </row>
    <row r="6" spans="1:13" ht="19.5" customHeight="1">
      <c r="A6" s="197"/>
      <c r="B6" s="197"/>
      <c r="C6" s="197"/>
      <c r="D6" s="197"/>
      <c r="E6" s="197"/>
      <c r="F6" s="197"/>
      <c r="G6" s="81"/>
      <c r="H6" s="197"/>
      <c r="I6" s="197"/>
      <c r="J6" s="197"/>
      <c r="K6" s="197"/>
      <c r="L6" s="197"/>
      <c r="M6" s="197"/>
    </row>
    <row r="7" spans="7:14" ht="15" customHeight="1">
      <c r="G7" s="44" t="s">
        <v>108</v>
      </c>
      <c r="H7" s="694"/>
      <c r="I7" s="694"/>
      <c r="J7" s="694"/>
      <c r="K7" s="694"/>
      <c r="L7" s="694"/>
      <c r="M7" s="694"/>
      <c r="N7" s="44" t="s">
        <v>149</v>
      </c>
    </row>
    <row r="8" spans="1:18" ht="76.5" customHeight="1">
      <c r="A8" s="198" t="s">
        <v>59</v>
      </c>
      <c r="B8" s="198" t="s">
        <v>110</v>
      </c>
      <c r="C8" s="198" t="s">
        <v>111</v>
      </c>
      <c r="D8" s="198" t="s">
        <v>112</v>
      </c>
      <c r="E8" s="198" t="s">
        <v>113</v>
      </c>
      <c r="F8" s="198" t="s">
        <v>114</v>
      </c>
      <c r="G8" s="198" t="s">
        <v>63</v>
      </c>
      <c r="H8" s="140" t="s">
        <v>59</v>
      </c>
      <c r="I8" s="140" t="s">
        <v>110</v>
      </c>
      <c r="J8" s="140" t="s">
        <v>111</v>
      </c>
      <c r="K8" s="140" t="s">
        <v>112</v>
      </c>
      <c r="L8" s="140" t="s">
        <v>113</v>
      </c>
      <c r="M8" s="140" t="s">
        <v>282</v>
      </c>
      <c r="N8" s="140" t="s">
        <v>63</v>
      </c>
      <c r="O8" s="140" t="str">
        <f>H8</f>
        <v>Rādītāji</v>
      </c>
      <c r="P8" s="140" t="str">
        <f>K8</f>
        <v>Izpilde no gada sākuma</v>
      </c>
      <c r="Q8" s="140" t="str">
        <f>'[5]februāris'!K8</f>
        <v>Izpilde no gada sākuma</v>
      </c>
      <c r="R8" s="140" t="s">
        <v>230</v>
      </c>
    </row>
    <row r="9" spans="1:17" ht="10.5" customHeight="1">
      <c r="A9" s="198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36">
        <v>7</v>
      </c>
      <c r="H9" s="140">
        <v>1</v>
      </c>
      <c r="I9" s="140">
        <v>2</v>
      </c>
      <c r="J9" s="140">
        <v>3</v>
      </c>
      <c r="K9" s="140">
        <v>4</v>
      </c>
      <c r="L9" s="140">
        <v>5</v>
      </c>
      <c r="M9" s="140">
        <v>6</v>
      </c>
      <c r="N9" s="143">
        <v>7</v>
      </c>
      <c r="O9" s="140">
        <f aca="true" t="shared" si="0" ref="O9:O72">H9</f>
        <v>1</v>
      </c>
      <c r="P9" s="140">
        <f aca="true" t="shared" si="1" ref="P9:P72">K9</f>
        <v>4</v>
      </c>
      <c r="Q9" s="140">
        <f>'[5]februāris'!K9</f>
        <v>4</v>
      </c>
    </row>
    <row r="10" spans="1:104" s="87" customFormat="1" ht="15" customHeight="1">
      <c r="A10" s="197" t="s">
        <v>283</v>
      </c>
      <c r="B10" s="199">
        <f>SUM(B11:B12)</f>
        <v>759846889</v>
      </c>
      <c r="C10" s="199">
        <f>SUM(C11:C12)</f>
        <v>175929508</v>
      </c>
      <c r="D10" s="199">
        <f>SUM(D11:D12)</f>
        <v>161145271.20999998</v>
      </c>
      <c r="E10" s="200">
        <f>IF(ISERROR(D10/B10)," ",(D10/B10))</f>
        <v>0.21207597680905946</v>
      </c>
      <c r="F10" s="200">
        <f>IF(ISERROR(D10/C10)," ",(D10/C10))</f>
        <v>0.9159649966735539</v>
      </c>
      <c r="G10" s="199">
        <f>SUM(G11:G12)</f>
        <v>57286411.2</v>
      </c>
      <c r="H10" s="201" t="s">
        <v>283</v>
      </c>
      <c r="I10" s="66">
        <f>SUM(I11:I12)</f>
        <v>759847</v>
      </c>
      <c r="J10" s="66">
        <f>SUM(J11:J12)</f>
        <v>175929</v>
      </c>
      <c r="K10" s="66">
        <f>SUM(K11:K12)</f>
        <v>161145</v>
      </c>
      <c r="L10" s="54">
        <f>IF(ISERROR(ROUND(K10,0)/ROUND(I10,0))," ",(ROUND(K10,)/ROUND(I10,)))</f>
        <v>0.2120755889014499</v>
      </c>
      <c r="M10" s="54">
        <f>IF(ISERROR(ROUND(K10,0)/ROUND(J10,0))," ",(ROUND(K10,)/ROUND(J10,)))</f>
        <v>0.9159660999607796</v>
      </c>
      <c r="N10" s="66">
        <f>SUM(N11:N12)</f>
        <v>57287</v>
      </c>
      <c r="O10" s="140" t="str">
        <f t="shared" si="0"/>
        <v>   Izdevumi - kopā </v>
      </c>
      <c r="P10" s="140">
        <f t="shared" si="1"/>
        <v>161145</v>
      </c>
      <c r="Q10" s="140">
        <f>'[5]februāris'!K10</f>
        <v>103858</v>
      </c>
      <c r="R10" s="44">
        <f>P10-Q10</f>
        <v>57287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</row>
    <row r="11" spans="1:104" s="205" customFormat="1" ht="13.5" customHeight="1">
      <c r="A11" s="202" t="s">
        <v>118</v>
      </c>
      <c r="B11" s="203">
        <f>B14+B17+B20+B23+B26+B29+B32+B35+B38+B41+B44+B47+B50+B55+B58+B61+B64+B67+B69+B72+B75+B78+B80+B82+B85+B87+B90+B93+B96</f>
        <v>694317503</v>
      </c>
      <c r="C11" s="203">
        <f>C14+C17+C20+C23+C26+C29+C32+C35+C38+C41+C44+C47+C50+C55+C58+C61+C64+C67+C69+C72+C75+C78+C80+C82+C85+C87+C90+C93+C96</f>
        <v>165458180</v>
      </c>
      <c r="D11" s="203">
        <f>D14+D17+D20+D23+D26+D29+D32+D35+D38+D41+D44+D47+D50+D55+D58+D61+D64+D67+D69+D72+D75+D78+D80+D82+D85+D87+D90+D93+D96</f>
        <v>154566377.76999998</v>
      </c>
      <c r="E11" s="204">
        <f aca="true" t="shared" si="2" ref="E11:E74">IF(ISERROR(D11/B11)," ",(D11/B11))</f>
        <v>0.2226162772825849</v>
      </c>
      <c r="F11" s="204">
        <f aca="true" t="shared" si="3" ref="F11:F74">IF(ISERROR(D11/C11)," ",(D11/C11))</f>
        <v>0.9341718721310726</v>
      </c>
      <c r="G11" s="203">
        <f>G14+G17+G20+G23+G26+G29+G32+G35+G38+G41+G44+G47+G50+G55+G58+G61+G64+G67+G69+G72+G75+G78+G80+G82+G85+G87+G90+G93+G96</f>
        <v>54777167.17</v>
      </c>
      <c r="H11" s="74" t="s">
        <v>118</v>
      </c>
      <c r="I11" s="23">
        <f>I14+I17+I20+I23+I26+I29+I32+I35+I38+I41+I44+I47+I50+I55+I58+I61+I64+I67+I69+I72+I75+I78+I80+I82+I85+I87+I90+I93+I96-2</f>
        <v>694318</v>
      </c>
      <c r="J11" s="23">
        <f>J14+J17+J20+J23+J26+J29+J32+J35+J38+J41+J44+J47+J50+J55+J58+J61+J64+J67+J69+J72+J75+J78+J80+J82+J85+J87+J90+J93+J96</f>
        <v>165458</v>
      </c>
      <c r="K11" s="23">
        <f>K14+K17+K20+K23+K26+K29+K32+K35+K38+K41+K44+K47+K50+K55+K58+K61+K64+K69+K72+K75+K82+K87+K90+K93+K67+K78+K80+K85+K96</f>
        <v>154566</v>
      </c>
      <c r="L11" s="113">
        <f>IF(ISERROR(K11/I11)," ",(K11/I11))</f>
        <v>0.22261557384368547</v>
      </c>
      <c r="M11" s="113">
        <f>IF(ISERROR(K11/J11)," ",(K11/J11))</f>
        <v>0.9341706052291215</v>
      </c>
      <c r="N11" s="23">
        <f>N14+N17+N20+N23+N26+N29+N32+N35+N38+N41+N44+N47+N50+N55+N58+N61+N64+N69+N72+N75+N82+N87+N90+N93+N67+N78+N80+N85+N96+2</f>
        <v>54777</v>
      </c>
      <c r="O11" s="140" t="str">
        <f t="shared" si="0"/>
        <v>     Uzturēšanas izdevumi</v>
      </c>
      <c r="P11" s="140">
        <f t="shared" si="1"/>
        <v>154566</v>
      </c>
      <c r="Q11" s="140">
        <f>'[5]februāris'!K11</f>
        <v>99789</v>
      </c>
      <c r="R11" s="44">
        <f aca="true" t="shared" si="4" ref="R11:R74">P11-Q11</f>
        <v>54777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</row>
    <row r="12" spans="1:104" s="205" customFormat="1" ht="14.25" customHeight="1">
      <c r="A12" s="202" t="s">
        <v>119</v>
      </c>
      <c r="B12" s="203">
        <f>B15+B18+B21+B24+B27+B30+B33+B36+B39+B42+B45+B48+B51+B56+B59+B62+B65+B70+B73+B76+B83+B88+B91+B94</f>
        <v>65529386</v>
      </c>
      <c r="C12" s="203">
        <f>C15+C18+C21+C24+C27+C30+C33+C36+C39+C42+C45+C48+C51+C56+C59+C62+C65+C70+C73+C76+C83+C88+C91+C94</f>
        <v>10471328</v>
      </c>
      <c r="D12" s="203">
        <f>D15+D18+D21+D24+D27+D30+D33+D36+D39+D42+D45+D48+D51+D56+D59+D62+D65+D70+D73+D76+D83+D88+D91+D94</f>
        <v>6578893.439999999</v>
      </c>
      <c r="E12" s="204">
        <f t="shared" si="2"/>
        <v>0.10039607940169008</v>
      </c>
      <c r="F12" s="204">
        <f t="shared" si="3"/>
        <v>0.6282768947739961</v>
      </c>
      <c r="G12" s="203">
        <f>G15+G18+G21+G24+G27+G30+G33+G36+G39+G42+G45+G48+G51+G56+G59+G62+G65+G70+G73+G76+G83+G88+G91+G94</f>
        <v>2509244.0300000007</v>
      </c>
      <c r="H12" s="74" t="s">
        <v>119</v>
      </c>
      <c r="I12" s="23">
        <f>I15+I18+I21+I24+I27+I30+I33+I36+I39+I42+I45+I48+I51+I56+I59+I62+I65+I70+I73+I76+I83+I88+I91+I94-1</f>
        <v>65529</v>
      </c>
      <c r="J12" s="23">
        <f>J15+J18+J21+J24+J27+J30+J33+J36+J39+J42+J45+J48+J51+J56+J59+J62+J65+J70+J73+J76+J83+J88+J91+J94</f>
        <v>10471</v>
      </c>
      <c r="K12" s="23">
        <f>K15+K18+K21+K24+K27+K30+K33+K36+K39+K42+K45+K48+K51+K56+K59+K62+K65+K70+K73+K76+K83+K88+K91+K94</f>
        <v>6579</v>
      </c>
      <c r="L12" s="78">
        <f aca="true" t="shared" si="5" ref="L12:L51">IF(ISERROR(ROUND(K12,0)/ROUND(I12,0))," ",(ROUND(K12,)/ROUND(I12,)))</f>
        <v>0.1003982969372339</v>
      </c>
      <c r="M12" s="113">
        <f>IF(ISERROR(K12/J12)," ",(K12/J12))</f>
        <v>0.6283067519816636</v>
      </c>
      <c r="N12" s="23">
        <f>N15+N18+N21+N24+N27+N30+N33+N36+N39+N42+N45+N48+N51+N56+N59+N62+N65+N70+N73+N76+N83+N88+N91+N94+1</f>
        <v>2510</v>
      </c>
      <c r="O12" s="140" t="str">
        <f t="shared" si="0"/>
        <v>     Izdevumi kapitālieguldījumiem</v>
      </c>
      <c r="P12" s="140">
        <f t="shared" si="1"/>
        <v>6579</v>
      </c>
      <c r="Q12" s="140">
        <f>'[5]februāris'!K12</f>
        <v>4069</v>
      </c>
      <c r="R12" s="44">
        <f t="shared" si="4"/>
        <v>2510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</row>
    <row r="13" spans="1:104" s="81" customFormat="1" ht="24.75" customHeight="1">
      <c r="A13" s="129" t="s">
        <v>284</v>
      </c>
      <c r="B13" s="206">
        <f>SUM(B14:B15)</f>
        <v>871809</v>
      </c>
      <c r="C13" s="206">
        <f>SUM(C14:C15)</f>
        <v>259611</v>
      </c>
      <c r="D13" s="206">
        <f>SUM(D14:D15)</f>
        <v>217215.59</v>
      </c>
      <c r="E13" s="200">
        <f t="shared" si="2"/>
        <v>0.24915502134068357</v>
      </c>
      <c r="F13" s="200">
        <f t="shared" si="3"/>
        <v>0.8366964034651845</v>
      </c>
      <c r="G13" s="206">
        <f>SUM(G14:G15)</f>
        <v>82937.6</v>
      </c>
      <c r="H13" s="126" t="s">
        <v>285</v>
      </c>
      <c r="I13" s="52">
        <f>SUM(I14:I15)</f>
        <v>872</v>
      </c>
      <c r="J13" s="52">
        <f>SUM(J14:J15)</f>
        <v>260</v>
      </c>
      <c r="K13" s="52">
        <f>SUM(K14:K15)</f>
        <v>217</v>
      </c>
      <c r="L13" s="54">
        <f t="shared" si="5"/>
        <v>0.24885321100917432</v>
      </c>
      <c r="M13" s="54">
        <f aca="true" t="shared" si="6" ref="M13:M51">IF(ISERROR(ROUND(K13,0)/ROUND(J13,0))," ",(ROUND(K13,)/ROUND(J13,)))</f>
        <v>0.8346153846153846</v>
      </c>
      <c r="N13" s="52">
        <f>SUM(N14:N15)</f>
        <v>83</v>
      </c>
      <c r="O13" s="140" t="str">
        <f t="shared" si="0"/>
        <v>Valsts prezidenta kanceleja</v>
      </c>
      <c r="P13" s="140">
        <f t="shared" si="1"/>
        <v>217</v>
      </c>
      <c r="Q13" s="140">
        <f>'[5]februāris'!K13</f>
        <v>134</v>
      </c>
      <c r="R13" s="44">
        <f t="shared" si="4"/>
        <v>83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</row>
    <row r="14" spans="1:104" s="205" customFormat="1" ht="14.25" customHeight="1">
      <c r="A14" s="202" t="s">
        <v>118</v>
      </c>
      <c r="B14" s="207">
        <v>815909</v>
      </c>
      <c r="C14" s="207">
        <v>213811</v>
      </c>
      <c r="D14" s="208">
        <f>50790.26+12844.51+15710.11+104668.69+27108.81</f>
        <v>211122.38</v>
      </c>
      <c r="E14" s="204">
        <f t="shared" si="2"/>
        <v>0.25875726337128285</v>
      </c>
      <c r="F14" s="204">
        <f t="shared" si="3"/>
        <v>0.9874252494025098</v>
      </c>
      <c r="G14" s="207">
        <f>D14-'[5]februāris'!D14</f>
        <v>81115.58</v>
      </c>
      <c r="H14" s="74" t="s">
        <v>118</v>
      </c>
      <c r="I14" s="75">
        <f aca="true" t="shared" si="7" ref="I14:K15">ROUND(B14/1000,0)</f>
        <v>816</v>
      </c>
      <c r="J14" s="75">
        <f>ROUND(C14/1000,0)</f>
        <v>214</v>
      </c>
      <c r="K14" s="75">
        <f>ROUND(D14/1000,0)</f>
        <v>211</v>
      </c>
      <c r="L14" s="78">
        <f t="shared" si="5"/>
        <v>0.25857843137254904</v>
      </c>
      <c r="M14" s="78">
        <f t="shared" si="6"/>
        <v>0.985981308411215</v>
      </c>
      <c r="N14" s="75">
        <f>ROUND(G14/1000,0)</f>
        <v>81</v>
      </c>
      <c r="O14" s="140" t="str">
        <f t="shared" si="0"/>
        <v>     Uzturēšanas izdevumi</v>
      </c>
      <c r="P14" s="140">
        <f t="shared" si="1"/>
        <v>211</v>
      </c>
      <c r="Q14" s="140">
        <f>'[5]februāris'!K14</f>
        <v>130</v>
      </c>
      <c r="R14" s="44">
        <f t="shared" si="4"/>
        <v>81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</row>
    <row r="15" spans="1:104" s="205" customFormat="1" ht="25.5">
      <c r="A15" s="202" t="s">
        <v>119</v>
      </c>
      <c r="B15" s="207">
        <v>55900</v>
      </c>
      <c r="C15" s="207">
        <v>45800</v>
      </c>
      <c r="D15" s="208">
        <f>6093.21</f>
        <v>6093.21</v>
      </c>
      <c r="E15" s="204">
        <f t="shared" si="2"/>
        <v>0.10900196779964222</v>
      </c>
      <c r="F15" s="204">
        <f t="shared" si="3"/>
        <v>0.13303951965065502</v>
      </c>
      <c r="G15" s="207">
        <f>D15-'[5]februāris'!D15</f>
        <v>1822.0200000000004</v>
      </c>
      <c r="H15" s="74" t="s">
        <v>119</v>
      </c>
      <c r="I15" s="75">
        <f t="shared" si="7"/>
        <v>56</v>
      </c>
      <c r="J15" s="75">
        <f>ROUND(C15/1000,0)</f>
        <v>46</v>
      </c>
      <c r="K15" s="75">
        <f t="shared" si="7"/>
        <v>6</v>
      </c>
      <c r="L15" s="78">
        <f t="shared" si="5"/>
        <v>0.10714285714285714</v>
      </c>
      <c r="M15" s="78">
        <f t="shared" si="6"/>
        <v>0.13043478260869565</v>
      </c>
      <c r="N15" s="75">
        <f>ROUND(G15/1000,0)</f>
        <v>2</v>
      </c>
      <c r="O15" s="140" t="str">
        <f t="shared" si="0"/>
        <v>     Izdevumi kapitālieguldījumiem</v>
      </c>
      <c r="P15" s="140">
        <f t="shared" si="1"/>
        <v>6</v>
      </c>
      <c r="Q15" s="140">
        <f>'[5]februāris'!K15</f>
        <v>4</v>
      </c>
      <c r="R15" s="44">
        <f t="shared" si="4"/>
        <v>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</row>
    <row r="16" spans="1:104" s="81" customFormat="1" ht="16.5" customHeight="1">
      <c r="A16" s="80" t="s">
        <v>286</v>
      </c>
      <c r="B16" s="206">
        <f>SUM(B17:B18)</f>
        <v>6668322</v>
      </c>
      <c r="C16" s="206">
        <f>SUM(C17:C18)</f>
        <v>1513620</v>
      </c>
      <c r="D16" s="206">
        <f>SUM(D17:D18)</f>
        <v>1414822.82</v>
      </c>
      <c r="E16" s="200">
        <f t="shared" si="2"/>
        <v>0.21217074100500846</v>
      </c>
      <c r="F16" s="200">
        <f t="shared" si="3"/>
        <v>0.9347278841452941</v>
      </c>
      <c r="G16" s="206">
        <f>SUM(G17:G18)</f>
        <v>695927.9299999999</v>
      </c>
      <c r="H16" s="65" t="s">
        <v>286</v>
      </c>
      <c r="I16" s="52">
        <f>SUM(I17:I18)</f>
        <v>6668</v>
      </c>
      <c r="J16" s="52">
        <f>SUM(J17:J18)</f>
        <v>1514</v>
      </c>
      <c r="K16" s="52">
        <f>SUM(K17:K18)</f>
        <v>1414</v>
      </c>
      <c r="L16" s="54">
        <f t="shared" si="5"/>
        <v>0.21205758848230355</v>
      </c>
      <c r="M16" s="54">
        <f t="shared" si="6"/>
        <v>0.9339498018494056</v>
      </c>
      <c r="N16" s="52">
        <f>SUM(N17:N18)</f>
        <v>696</v>
      </c>
      <c r="O16" s="140" t="str">
        <f t="shared" si="0"/>
        <v>Saeima</v>
      </c>
      <c r="P16" s="140">
        <f t="shared" si="1"/>
        <v>1414</v>
      </c>
      <c r="Q16" s="140">
        <f>'[5]februāris'!K16</f>
        <v>719</v>
      </c>
      <c r="R16" s="44">
        <f t="shared" si="4"/>
        <v>695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</row>
    <row r="17" spans="1:104" s="205" customFormat="1" ht="12.75">
      <c r="A17" s="202" t="s">
        <v>118</v>
      </c>
      <c r="B17" s="207">
        <v>5553887</v>
      </c>
      <c r="C17" s="207">
        <v>1281620</v>
      </c>
      <c r="D17" s="207">
        <f>1414823.03-228333</f>
        <v>1186490.03</v>
      </c>
      <c r="E17" s="204">
        <f t="shared" si="2"/>
        <v>0.21363236774532865</v>
      </c>
      <c r="F17" s="204">
        <f t="shared" si="3"/>
        <v>0.9257736536570903</v>
      </c>
      <c r="G17" s="207">
        <f>D17-'[5]februāris'!D17</f>
        <v>518049.63</v>
      </c>
      <c r="H17" s="74" t="s">
        <v>118</v>
      </c>
      <c r="I17" s="75">
        <f aca="true" t="shared" si="8" ref="I17:K18">ROUND(B17/1000,0)</f>
        <v>5554</v>
      </c>
      <c r="J17" s="75">
        <f t="shared" si="8"/>
        <v>1282</v>
      </c>
      <c r="K17" s="75">
        <f t="shared" si="8"/>
        <v>1186</v>
      </c>
      <c r="L17" s="78">
        <f t="shared" si="5"/>
        <v>0.21353979114151964</v>
      </c>
      <c r="M17" s="78">
        <f t="shared" si="6"/>
        <v>0.9251170046801872</v>
      </c>
      <c r="N17" s="75">
        <f>ROUND(G17/1000,0)</f>
        <v>518</v>
      </c>
      <c r="O17" s="140" t="str">
        <f t="shared" si="0"/>
        <v>     Uzturēšanas izdevumi</v>
      </c>
      <c r="P17" s="140">
        <f t="shared" si="1"/>
        <v>1186</v>
      </c>
      <c r="Q17" s="140">
        <f>'[5]februāris'!K17</f>
        <v>668</v>
      </c>
      <c r="R17" s="44">
        <f t="shared" si="4"/>
        <v>518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</row>
    <row r="18" spans="1:104" s="205" customFormat="1" ht="25.5">
      <c r="A18" s="202" t="s">
        <v>119</v>
      </c>
      <c r="B18" s="207">
        <v>1114435</v>
      </c>
      <c r="C18" s="207">
        <v>232000</v>
      </c>
      <c r="D18" s="207">
        <f>71602.74+156730.05</f>
        <v>228332.78999999998</v>
      </c>
      <c r="E18" s="204">
        <f t="shared" si="2"/>
        <v>0.20488659275776513</v>
      </c>
      <c r="F18" s="204">
        <f t="shared" si="3"/>
        <v>0.9841930603448275</v>
      </c>
      <c r="G18" s="207">
        <f>D18-'[5]februāris'!D18</f>
        <v>177878.3</v>
      </c>
      <c r="H18" s="74" t="s">
        <v>119</v>
      </c>
      <c r="I18" s="75">
        <f>ROUND(B18/1000,0)</f>
        <v>1114</v>
      </c>
      <c r="J18" s="75">
        <f t="shared" si="8"/>
        <v>232</v>
      </c>
      <c r="K18" s="75">
        <f>ROUND(D18/1000,0)</f>
        <v>228</v>
      </c>
      <c r="L18" s="78">
        <f t="shared" si="5"/>
        <v>0.20466786355475763</v>
      </c>
      <c r="M18" s="78">
        <f t="shared" si="6"/>
        <v>0.9827586206896551</v>
      </c>
      <c r="N18" s="75">
        <f>ROUND(G18/1000,0)</f>
        <v>178</v>
      </c>
      <c r="O18" s="140" t="str">
        <f t="shared" si="0"/>
        <v>     Izdevumi kapitālieguldījumiem</v>
      </c>
      <c r="P18" s="140">
        <f t="shared" si="1"/>
        <v>228</v>
      </c>
      <c r="Q18" s="140">
        <f>'[5]februāris'!K18</f>
        <v>51</v>
      </c>
      <c r="R18" s="44">
        <f t="shared" si="4"/>
        <v>177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</row>
    <row r="19" spans="1:104" s="81" customFormat="1" ht="13.5" customHeight="1">
      <c r="A19" s="80" t="s">
        <v>121</v>
      </c>
      <c r="B19" s="206">
        <f>SUM(B20:B21)</f>
        <v>3229056</v>
      </c>
      <c r="C19" s="206">
        <f>SUM(C20:C21)</f>
        <v>747835</v>
      </c>
      <c r="D19" s="206">
        <f>SUM(D20:D21)</f>
        <v>707906.92</v>
      </c>
      <c r="E19" s="200">
        <f t="shared" si="2"/>
        <v>0.21923030136361835</v>
      </c>
      <c r="F19" s="200">
        <f t="shared" si="3"/>
        <v>0.9466084363529389</v>
      </c>
      <c r="G19" s="206">
        <f>SUM(G20:G21)</f>
        <v>263046.74</v>
      </c>
      <c r="H19" s="65" t="s">
        <v>121</v>
      </c>
      <c r="I19" s="52">
        <f>SUM(I20:I21)</f>
        <v>3229</v>
      </c>
      <c r="J19" s="52">
        <f>SUM(J20:J21)</f>
        <v>748</v>
      </c>
      <c r="K19" s="52">
        <f>SUM(K20:K21)</f>
        <v>708</v>
      </c>
      <c r="L19" s="54">
        <f t="shared" si="5"/>
        <v>0.2192629296995974</v>
      </c>
      <c r="M19" s="54">
        <f t="shared" si="6"/>
        <v>0.946524064171123</v>
      </c>
      <c r="N19" s="52">
        <f>SUM(N20:N21)</f>
        <v>263</v>
      </c>
      <c r="O19" s="140" t="str">
        <f t="shared" si="0"/>
        <v>Ministru Kabinets</v>
      </c>
      <c r="P19" s="140">
        <f t="shared" si="1"/>
        <v>708</v>
      </c>
      <c r="Q19" s="140">
        <f>'[5]februāris'!K19</f>
        <v>445</v>
      </c>
      <c r="R19" s="44">
        <f t="shared" si="4"/>
        <v>263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</row>
    <row r="20" spans="1:104" s="205" customFormat="1" ht="12.75">
      <c r="A20" s="202" t="s">
        <v>118</v>
      </c>
      <c r="B20" s="207">
        <v>3092876</v>
      </c>
      <c r="C20" s="207">
        <v>732835</v>
      </c>
      <c r="D20" s="207">
        <f>707906.65-13855</f>
        <v>694051.65</v>
      </c>
      <c r="E20" s="204">
        <f t="shared" si="2"/>
        <v>0.22440332234463975</v>
      </c>
      <c r="F20" s="204">
        <f t="shared" si="3"/>
        <v>0.9470776504943133</v>
      </c>
      <c r="G20" s="207">
        <f>D20-'[5]februāris'!D20</f>
        <v>257706</v>
      </c>
      <c r="H20" s="74" t="s">
        <v>118</v>
      </c>
      <c r="I20" s="75">
        <f>ROUND(B20/1000,0)</f>
        <v>3093</v>
      </c>
      <c r="J20" s="75">
        <f aca="true" t="shared" si="9" ref="I20:K21">ROUND(C20/1000,0)</f>
        <v>733</v>
      </c>
      <c r="K20" s="75">
        <f>ROUND(D20/1000,0)</f>
        <v>694</v>
      </c>
      <c r="L20" s="78">
        <f t="shared" si="5"/>
        <v>0.22437762689945037</v>
      </c>
      <c r="M20" s="78">
        <f t="shared" si="6"/>
        <v>0.946793997271487</v>
      </c>
      <c r="N20" s="75">
        <f>ROUND(G20/1000,0)</f>
        <v>258</v>
      </c>
      <c r="O20" s="140" t="str">
        <f t="shared" si="0"/>
        <v>     Uzturēšanas izdevumi</v>
      </c>
      <c r="P20" s="140">
        <f t="shared" si="1"/>
        <v>694</v>
      </c>
      <c r="Q20" s="140">
        <f>'[5]februāris'!K20</f>
        <v>436</v>
      </c>
      <c r="R20" s="44">
        <f t="shared" si="4"/>
        <v>258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</row>
    <row r="21" spans="1:104" s="205" customFormat="1" ht="25.5">
      <c r="A21" s="202" t="s">
        <v>119</v>
      </c>
      <c r="B21" s="207">
        <v>136180</v>
      </c>
      <c r="C21" s="207">
        <v>15000</v>
      </c>
      <c r="D21" s="207">
        <f>9135.27+4720</f>
        <v>13855.27</v>
      </c>
      <c r="E21" s="204">
        <f t="shared" si="2"/>
        <v>0.10174232633279483</v>
      </c>
      <c r="F21" s="204">
        <f t="shared" si="3"/>
        <v>0.9236846666666667</v>
      </c>
      <c r="G21" s="207">
        <f>D21-'[5]februāris'!D21</f>
        <v>5340.74</v>
      </c>
      <c r="H21" s="74" t="s">
        <v>119</v>
      </c>
      <c r="I21" s="75">
        <f t="shared" si="9"/>
        <v>136</v>
      </c>
      <c r="J21" s="75">
        <f t="shared" si="9"/>
        <v>15</v>
      </c>
      <c r="K21" s="75">
        <f t="shared" si="9"/>
        <v>14</v>
      </c>
      <c r="L21" s="78">
        <f t="shared" si="5"/>
        <v>0.10294117647058823</v>
      </c>
      <c r="M21" s="78">
        <f t="shared" si="6"/>
        <v>0.9333333333333333</v>
      </c>
      <c r="N21" s="75">
        <f>ROUND(G21/1000,0)</f>
        <v>5</v>
      </c>
      <c r="O21" s="140" t="str">
        <f t="shared" si="0"/>
        <v>     Izdevumi kapitālieguldījumiem</v>
      </c>
      <c r="P21" s="140">
        <f t="shared" si="1"/>
        <v>14</v>
      </c>
      <c r="Q21" s="140">
        <f>'[5]februāris'!K21</f>
        <v>9</v>
      </c>
      <c r="R21" s="44">
        <f t="shared" si="4"/>
        <v>5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</row>
    <row r="22" spans="1:104" s="81" customFormat="1" ht="15" customHeight="1">
      <c r="A22" s="80" t="s">
        <v>287</v>
      </c>
      <c r="B22" s="206">
        <f>SUM(B23:B24)</f>
        <v>43048485</v>
      </c>
      <c r="C22" s="206">
        <f>SUM(C23:C24)</f>
        <v>9849746</v>
      </c>
      <c r="D22" s="206">
        <f>SUM(D23:D24)</f>
        <v>8905502.82</v>
      </c>
      <c r="E22" s="200">
        <f t="shared" si="2"/>
        <v>0.20687145714884045</v>
      </c>
      <c r="F22" s="200">
        <f t="shared" si="3"/>
        <v>0.9041352761786954</v>
      </c>
      <c r="G22" s="206">
        <f>SUM(G23:G24)</f>
        <v>3292259.39</v>
      </c>
      <c r="H22" s="65" t="s">
        <v>287</v>
      </c>
      <c r="I22" s="52">
        <f>SUM(I23:I24)</f>
        <v>43048</v>
      </c>
      <c r="J22" s="52">
        <f>SUM(J23:J24)</f>
        <v>9849</v>
      </c>
      <c r="K22" s="52">
        <f>SUM(K23:K24)</f>
        <v>8905</v>
      </c>
      <c r="L22" s="54">
        <f t="shared" si="5"/>
        <v>0.20686210741497862</v>
      </c>
      <c r="M22" s="54">
        <f t="shared" si="6"/>
        <v>0.9041527058584627</v>
      </c>
      <c r="N22" s="52">
        <f>SUM(N23:N24)</f>
        <v>3292</v>
      </c>
      <c r="O22" s="140" t="str">
        <f t="shared" si="0"/>
        <v>Aizsardzības ministrija</v>
      </c>
      <c r="P22" s="140">
        <f t="shared" si="1"/>
        <v>8905</v>
      </c>
      <c r="Q22" s="140">
        <f>'[5]februāris'!K22</f>
        <v>5613</v>
      </c>
      <c r="R22" s="44">
        <f t="shared" si="4"/>
        <v>3292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</row>
    <row r="23" spans="1:104" s="205" customFormat="1" ht="12.75">
      <c r="A23" s="202" t="s">
        <v>118</v>
      </c>
      <c r="B23" s="207">
        <v>38658304</v>
      </c>
      <c r="C23" s="207">
        <v>9459118</v>
      </c>
      <c r="D23" s="207">
        <f>8905502.82-225067</f>
        <v>8680435.82</v>
      </c>
      <c r="E23" s="204">
        <f t="shared" si="2"/>
        <v>0.2245425929704521</v>
      </c>
      <c r="F23" s="204">
        <f t="shared" si="3"/>
        <v>0.9176791979971072</v>
      </c>
      <c r="G23" s="207">
        <f>D23-'[5]februāris'!D23</f>
        <v>3239230.16</v>
      </c>
      <c r="H23" s="74" t="s">
        <v>118</v>
      </c>
      <c r="I23" s="75">
        <f aca="true" t="shared" si="10" ref="I23:K24">ROUND(B23/1000,0)</f>
        <v>38658</v>
      </c>
      <c r="J23" s="75">
        <f>ROUND(C23/1000,0)-1</f>
        <v>9458</v>
      </c>
      <c r="K23" s="75">
        <f t="shared" si="10"/>
        <v>8680</v>
      </c>
      <c r="L23" s="78">
        <f t="shared" si="5"/>
        <v>0.22453308500181074</v>
      </c>
      <c r="M23" s="78">
        <f t="shared" si="6"/>
        <v>0.9177415944174244</v>
      </c>
      <c r="N23" s="75">
        <f>ROUND(G23/1000,0)</f>
        <v>3239</v>
      </c>
      <c r="O23" s="140" t="str">
        <f t="shared" si="0"/>
        <v>     Uzturēšanas izdevumi</v>
      </c>
      <c r="P23" s="140">
        <f t="shared" si="1"/>
        <v>8680</v>
      </c>
      <c r="Q23" s="140">
        <f>'[5]februāris'!K23</f>
        <v>5441</v>
      </c>
      <c r="R23" s="44">
        <f t="shared" si="4"/>
        <v>3239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</row>
    <row r="24" spans="1:104" s="205" customFormat="1" ht="25.5">
      <c r="A24" s="202" t="s">
        <v>119</v>
      </c>
      <c r="B24" s="207">
        <v>4390181</v>
      </c>
      <c r="C24" s="207">
        <v>390628</v>
      </c>
      <c r="D24" s="207">
        <f>112110.81+112956.19</f>
        <v>225067</v>
      </c>
      <c r="E24" s="204">
        <f t="shared" si="2"/>
        <v>0.05126599563890418</v>
      </c>
      <c r="F24" s="204">
        <f t="shared" si="3"/>
        <v>0.5761670950367102</v>
      </c>
      <c r="G24" s="207">
        <f>D24-'[5]februāris'!D24</f>
        <v>53029.23000000001</v>
      </c>
      <c r="H24" s="74" t="s">
        <v>119</v>
      </c>
      <c r="I24" s="75">
        <f t="shared" si="10"/>
        <v>4390</v>
      </c>
      <c r="J24" s="75">
        <f t="shared" si="10"/>
        <v>391</v>
      </c>
      <c r="K24" s="75">
        <f t="shared" si="10"/>
        <v>225</v>
      </c>
      <c r="L24" s="78">
        <f t="shared" si="5"/>
        <v>0.05125284738041002</v>
      </c>
      <c r="M24" s="78">
        <f t="shared" si="6"/>
        <v>0.5754475703324808</v>
      </c>
      <c r="N24" s="75">
        <f>ROUND(G24/1000,0)</f>
        <v>53</v>
      </c>
      <c r="O24" s="140" t="str">
        <f t="shared" si="0"/>
        <v>     Izdevumi kapitālieguldījumiem</v>
      </c>
      <c r="P24" s="140">
        <f t="shared" si="1"/>
        <v>225</v>
      </c>
      <c r="Q24" s="140">
        <f>'[5]februāris'!K24</f>
        <v>172</v>
      </c>
      <c r="R24" s="44">
        <f t="shared" si="4"/>
        <v>53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</row>
    <row r="25" spans="1:104" s="81" customFormat="1" ht="16.5" customHeight="1">
      <c r="A25" s="80" t="s">
        <v>288</v>
      </c>
      <c r="B25" s="206">
        <f>SUM(B26:B27)</f>
        <v>10927250</v>
      </c>
      <c r="C25" s="206">
        <f>SUM(C26:C27)</f>
        <v>2672790</v>
      </c>
      <c r="D25" s="206">
        <f>SUM(D26:D27)</f>
        <v>2492733.85</v>
      </c>
      <c r="E25" s="200">
        <f t="shared" si="2"/>
        <v>0.2281208767073143</v>
      </c>
      <c r="F25" s="200">
        <f t="shared" si="3"/>
        <v>0.9326336337684592</v>
      </c>
      <c r="G25" s="206">
        <f>SUM(G26:G27)</f>
        <v>696648.1400000002</v>
      </c>
      <c r="H25" s="65" t="s">
        <v>288</v>
      </c>
      <c r="I25" s="52">
        <f>SUM(I26:I27)</f>
        <v>10927</v>
      </c>
      <c r="J25" s="52">
        <f>SUM(J26:J27)</f>
        <v>2673</v>
      </c>
      <c r="K25" s="52">
        <f>SUM(K26:K27)</f>
        <v>2493</v>
      </c>
      <c r="L25" s="54">
        <f t="shared" si="5"/>
        <v>0.22815045300631465</v>
      </c>
      <c r="M25" s="54">
        <f t="shared" si="6"/>
        <v>0.9326599326599326</v>
      </c>
      <c r="N25" s="52">
        <f>SUM(N26:N27)</f>
        <v>697</v>
      </c>
      <c r="O25" s="140" t="str">
        <f t="shared" si="0"/>
        <v>Ārlietu ministrija</v>
      </c>
      <c r="P25" s="140">
        <f t="shared" si="1"/>
        <v>2493</v>
      </c>
      <c r="Q25" s="140">
        <f>'[5]februāris'!K25</f>
        <v>1796</v>
      </c>
      <c r="R25" s="44">
        <f t="shared" si="4"/>
        <v>697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</row>
    <row r="26" spans="1:104" s="205" customFormat="1" ht="12.75">
      <c r="A26" s="202" t="s">
        <v>118</v>
      </c>
      <c r="B26" s="207">
        <v>10619950</v>
      </c>
      <c r="C26" s="207">
        <v>2574090</v>
      </c>
      <c r="D26" s="207">
        <f>2492733.85-88894.96</f>
        <v>2403838.89</v>
      </c>
      <c r="E26" s="204">
        <f t="shared" si="2"/>
        <v>0.22635124364992304</v>
      </c>
      <c r="F26" s="204">
        <f t="shared" si="3"/>
        <v>0.9338596902206217</v>
      </c>
      <c r="G26" s="207">
        <f>D26-'[5]februāris'!D26</f>
        <v>660212.9700000002</v>
      </c>
      <c r="H26" s="74" t="s">
        <v>118</v>
      </c>
      <c r="I26" s="75">
        <f aca="true" t="shared" si="11" ref="I26:K27">ROUND(B26/1000,0)</f>
        <v>10620</v>
      </c>
      <c r="J26" s="75">
        <f t="shared" si="11"/>
        <v>2574</v>
      </c>
      <c r="K26" s="75">
        <f t="shared" si="11"/>
        <v>2404</v>
      </c>
      <c r="L26" s="78">
        <f t="shared" si="5"/>
        <v>0.2263653483992467</v>
      </c>
      <c r="M26" s="78">
        <f t="shared" si="6"/>
        <v>0.933954933954934</v>
      </c>
      <c r="N26" s="75">
        <f>ROUND(G26/1000,0)</f>
        <v>660</v>
      </c>
      <c r="O26" s="140" t="str">
        <f t="shared" si="0"/>
        <v>     Uzturēšanas izdevumi</v>
      </c>
      <c r="P26" s="140">
        <f t="shared" si="1"/>
        <v>2404</v>
      </c>
      <c r="Q26" s="140">
        <f>'[5]februāris'!K26</f>
        <v>1744</v>
      </c>
      <c r="R26" s="44">
        <f t="shared" si="4"/>
        <v>660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</row>
    <row r="27" spans="1:104" s="205" customFormat="1" ht="25.5">
      <c r="A27" s="202" t="s">
        <v>119</v>
      </c>
      <c r="B27" s="207">
        <v>307300</v>
      </c>
      <c r="C27" s="207">
        <v>98700</v>
      </c>
      <c r="D27" s="207">
        <v>88894.96</v>
      </c>
      <c r="E27" s="204">
        <f t="shared" si="2"/>
        <v>0.28927744874715267</v>
      </c>
      <c r="F27" s="204">
        <f t="shared" si="3"/>
        <v>0.9006581560283689</v>
      </c>
      <c r="G27" s="207">
        <f>D27-'[5]februāris'!D27</f>
        <v>36435.170000000006</v>
      </c>
      <c r="H27" s="74" t="s">
        <v>119</v>
      </c>
      <c r="I27" s="75">
        <f t="shared" si="11"/>
        <v>307</v>
      </c>
      <c r="J27" s="75">
        <f t="shared" si="11"/>
        <v>99</v>
      </c>
      <c r="K27" s="75">
        <f t="shared" si="11"/>
        <v>89</v>
      </c>
      <c r="L27" s="78">
        <f t="shared" si="5"/>
        <v>0.2899022801302932</v>
      </c>
      <c r="M27" s="78">
        <f t="shared" si="6"/>
        <v>0.898989898989899</v>
      </c>
      <c r="N27" s="75">
        <f>ROUND(G27/1000,0)+1</f>
        <v>37</v>
      </c>
      <c r="O27" s="140" t="str">
        <f t="shared" si="0"/>
        <v>     Izdevumi kapitālieguldījumiem</v>
      </c>
      <c r="P27" s="140">
        <f t="shared" si="1"/>
        <v>89</v>
      </c>
      <c r="Q27" s="140">
        <f>'[5]februāris'!K27</f>
        <v>52</v>
      </c>
      <c r="R27" s="44">
        <f t="shared" si="4"/>
        <v>37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</row>
    <row r="28" spans="1:104" s="81" customFormat="1" ht="14.25" customHeight="1">
      <c r="A28" s="80" t="s">
        <v>124</v>
      </c>
      <c r="B28" s="206">
        <f>SUM(B29:B30)</f>
        <v>8644865</v>
      </c>
      <c r="C28" s="206">
        <f>SUM(C29:C30)</f>
        <v>2795218</v>
      </c>
      <c r="D28" s="206">
        <f>SUM(D29:D30)</f>
        <v>1472267.21</v>
      </c>
      <c r="E28" s="200">
        <f t="shared" si="2"/>
        <v>0.1703054021086506</v>
      </c>
      <c r="F28" s="200">
        <f>IF(ISERROR(D28/C28)," ",(D28/C28))</f>
        <v>0.5267092620325141</v>
      </c>
      <c r="G28" s="206">
        <f>SUM(G29:G30)</f>
        <v>531961.7</v>
      </c>
      <c r="H28" s="65" t="s">
        <v>124</v>
      </c>
      <c r="I28" s="52">
        <f>SUM(I29:I30)</f>
        <v>8645</v>
      </c>
      <c r="J28" s="52">
        <f>SUM(J29:J30)</f>
        <v>2795</v>
      </c>
      <c r="K28" s="52">
        <f>SUM(K29:K30)</f>
        <v>1472</v>
      </c>
      <c r="L28" s="54">
        <f t="shared" si="5"/>
        <v>0.17027183342972815</v>
      </c>
      <c r="M28" s="54">
        <f t="shared" si="6"/>
        <v>0.526654740608229</v>
      </c>
      <c r="N28" s="52">
        <f>SUM(N29:N30)</f>
        <v>532</v>
      </c>
      <c r="O28" s="140" t="str">
        <f t="shared" si="0"/>
        <v>Ekonomikas ministrija</v>
      </c>
      <c r="P28" s="140">
        <f t="shared" si="1"/>
        <v>1472</v>
      </c>
      <c r="Q28" s="140">
        <f>'[5]februāris'!K28</f>
        <v>940</v>
      </c>
      <c r="R28" s="44">
        <f t="shared" si="4"/>
        <v>532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</row>
    <row r="29" spans="1:104" s="205" customFormat="1" ht="12.75">
      <c r="A29" s="202" t="s">
        <v>118</v>
      </c>
      <c r="B29" s="207">
        <v>6804899</v>
      </c>
      <c r="C29" s="207">
        <v>1968718</v>
      </c>
      <c r="D29" s="207">
        <f>1472266.89-14130</f>
        <v>1458136.89</v>
      </c>
      <c r="E29" s="204">
        <f t="shared" si="2"/>
        <v>0.21427752123874283</v>
      </c>
      <c r="F29" s="204">
        <f>IF(ISERROR(D29/C29)," ",(D29/C29))</f>
        <v>0.7406529985503256</v>
      </c>
      <c r="G29" s="207">
        <f>D29-'[5]februāris'!D29</f>
        <v>523988.43999999994</v>
      </c>
      <c r="H29" s="74" t="s">
        <v>118</v>
      </c>
      <c r="I29" s="75">
        <f aca="true" t="shared" si="12" ref="I29:K30">ROUND(B29/1000,0)</f>
        <v>6805</v>
      </c>
      <c r="J29" s="75">
        <f>ROUND(C29/1000,0)</f>
        <v>1969</v>
      </c>
      <c r="K29" s="75">
        <f t="shared" si="12"/>
        <v>1458</v>
      </c>
      <c r="L29" s="78">
        <f t="shared" si="5"/>
        <v>0.21425422483468037</v>
      </c>
      <c r="M29" s="78">
        <f t="shared" si="6"/>
        <v>0.7404773996952768</v>
      </c>
      <c r="N29" s="75">
        <f>ROUND(G29/1000,0)</f>
        <v>524</v>
      </c>
      <c r="O29" s="140" t="str">
        <f t="shared" si="0"/>
        <v>     Uzturēšanas izdevumi</v>
      </c>
      <c r="P29" s="140">
        <f t="shared" si="1"/>
        <v>1458</v>
      </c>
      <c r="Q29" s="140">
        <f>'[5]februāris'!K29</f>
        <v>934</v>
      </c>
      <c r="R29" s="44">
        <f t="shared" si="4"/>
        <v>524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</row>
    <row r="30" spans="1:104" s="205" customFormat="1" ht="25.5">
      <c r="A30" s="202" t="s">
        <v>119</v>
      </c>
      <c r="B30" s="207">
        <v>1839966</v>
      </c>
      <c r="C30" s="207">
        <v>826500</v>
      </c>
      <c r="D30" s="207">
        <f>3370.85+10759.47</f>
        <v>14130.32</v>
      </c>
      <c r="E30" s="204">
        <f t="shared" si="2"/>
        <v>0.007679663645958675</v>
      </c>
      <c r="F30" s="204">
        <f>IF(ISERROR(D30/C30)," ",(D30/C30))</f>
        <v>0.017096575922565034</v>
      </c>
      <c r="G30" s="207">
        <f>D30-'[5]februāris'!D30</f>
        <v>7973.259999999999</v>
      </c>
      <c r="H30" s="74" t="s">
        <v>119</v>
      </c>
      <c r="I30" s="75">
        <f t="shared" si="12"/>
        <v>1840</v>
      </c>
      <c r="J30" s="75">
        <f>ROUND(C30/1000,0)-1</f>
        <v>826</v>
      </c>
      <c r="K30" s="75">
        <f>ROUND(D30/1000,0)</f>
        <v>14</v>
      </c>
      <c r="L30" s="78">
        <f t="shared" si="5"/>
        <v>0.007608695652173913</v>
      </c>
      <c r="M30" s="78">
        <f t="shared" si="6"/>
        <v>0.01694915254237288</v>
      </c>
      <c r="N30" s="75">
        <f>ROUND(G30/1000,0)</f>
        <v>8</v>
      </c>
      <c r="O30" s="140" t="str">
        <f t="shared" si="0"/>
        <v>     Izdevumi kapitālieguldījumiem</v>
      </c>
      <c r="P30" s="140">
        <f t="shared" si="1"/>
        <v>14</v>
      </c>
      <c r="Q30" s="140">
        <f>'[5]februāris'!K30</f>
        <v>6</v>
      </c>
      <c r="R30" s="44">
        <f t="shared" si="4"/>
        <v>8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</row>
    <row r="31" spans="1:104" s="81" customFormat="1" ht="14.25" customHeight="1">
      <c r="A31" s="80" t="s">
        <v>125</v>
      </c>
      <c r="B31" s="206">
        <f>SUM(B32:B33)</f>
        <v>94170225</v>
      </c>
      <c r="C31" s="206">
        <f>SUM(C32:C33)</f>
        <v>21822684</v>
      </c>
      <c r="D31" s="206">
        <f>SUM(D32:D33)</f>
        <v>19757681.720000003</v>
      </c>
      <c r="E31" s="200">
        <f t="shared" si="2"/>
        <v>0.20980816091285756</v>
      </c>
      <c r="F31" s="200">
        <f t="shared" si="3"/>
        <v>0.9053735883267156</v>
      </c>
      <c r="G31" s="206">
        <f>SUM(G32:G33)</f>
        <v>7728762.390000002</v>
      </c>
      <c r="H31" s="65" t="s">
        <v>125</v>
      </c>
      <c r="I31" s="52">
        <f>SUM(I32:I33)</f>
        <v>94171</v>
      </c>
      <c r="J31" s="52">
        <f>SUM(J32:J33)</f>
        <v>21822</v>
      </c>
      <c r="K31" s="52">
        <f>SUM(K32:K33)</f>
        <v>19756</v>
      </c>
      <c r="L31" s="54">
        <f t="shared" si="5"/>
        <v>0.2097885761009228</v>
      </c>
      <c r="M31" s="54">
        <f t="shared" si="6"/>
        <v>0.9053249014755751</v>
      </c>
      <c r="N31" s="52">
        <f>SUM(N32:N33)</f>
        <v>7729</v>
      </c>
      <c r="O31" s="140" t="str">
        <f t="shared" si="0"/>
        <v>Finansu ministrija</v>
      </c>
      <c r="P31" s="140">
        <f t="shared" si="1"/>
        <v>19756</v>
      </c>
      <c r="Q31" s="140">
        <f>'[5]februāris'!K31</f>
        <v>12028</v>
      </c>
      <c r="R31" s="44">
        <f t="shared" si="4"/>
        <v>7728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</row>
    <row r="32" spans="1:104" s="205" customFormat="1" ht="12.75">
      <c r="A32" s="202" t="s">
        <v>118</v>
      </c>
      <c r="B32" s="207">
        <v>85269146</v>
      </c>
      <c r="C32" s="207">
        <v>18565482</v>
      </c>
      <c r="D32" s="207">
        <f>19757681.76-2447405</f>
        <v>17310276.76</v>
      </c>
      <c r="E32" s="204">
        <f t="shared" si="2"/>
        <v>0.20300750707647525</v>
      </c>
      <c r="F32" s="204">
        <f t="shared" si="3"/>
        <v>0.9323903769371569</v>
      </c>
      <c r="G32" s="207">
        <f>D32-'[5]februāris'!D32</f>
        <v>7058929.900000002</v>
      </c>
      <c r="H32" s="74" t="s">
        <v>118</v>
      </c>
      <c r="I32" s="75">
        <f>ROUND(B32/1000,0)+1</f>
        <v>85270</v>
      </c>
      <c r="J32" s="75">
        <f>ROUND(C32/1000,0)</f>
        <v>18565</v>
      </c>
      <c r="K32" s="75">
        <f>ROUND(D32/1000,0)-1</f>
        <v>17309</v>
      </c>
      <c r="L32" s="78">
        <f t="shared" si="5"/>
        <v>0.2029905007622845</v>
      </c>
      <c r="M32" s="78">
        <f t="shared" si="6"/>
        <v>0.9323458120118503</v>
      </c>
      <c r="N32" s="75">
        <f>ROUND(G32/1000,0)</f>
        <v>7059</v>
      </c>
      <c r="O32" s="140" t="str">
        <f t="shared" si="0"/>
        <v>     Uzturēšanas izdevumi</v>
      </c>
      <c r="P32" s="140">
        <f t="shared" si="1"/>
        <v>17309</v>
      </c>
      <c r="Q32" s="140">
        <f>'[5]februāris'!K32</f>
        <v>10251</v>
      </c>
      <c r="R32" s="44">
        <f t="shared" si="4"/>
        <v>7058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</row>
    <row r="33" spans="1:104" s="205" customFormat="1" ht="25.5">
      <c r="A33" s="202" t="s">
        <v>119</v>
      </c>
      <c r="B33" s="207">
        <v>8901079</v>
      </c>
      <c r="C33" s="207">
        <v>3257202</v>
      </c>
      <c r="D33" s="207">
        <f>46297.23+150+26939.91+2374017.82</f>
        <v>2447404.96</v>
      </c>
      <c r="E33" s="204">
        <f t="shared" si="2"/>
        <v>0.2749559867966569</v>
      </c>
      <c r="F33" s="204">
        <f t="shared" si="3"/>
        <v>0.7513826161226721</v>
      </c>
      <c r="G33" s="207">
        <f>D33-'[5]februāris'!D33</f>
        <v>669832.49</v>
      </c>
      <c r="H33" s="74" t="s">
        <v>119</v>
      </c>
      <c r="I33" s="75">
        <f>ROUND(B33/1000,0)</f>
        <v>8901</v>
      </c>
      <c r="J33" s="75">
        <f>ROUND(C33/1000,0)</f>
        <v>3257</v>
      </c>
      <c r="K33" s="75">
        <f>ROUND(D33/1000,0)</f>
        <v>2447</v>
      </c>
      <c r="L33" s="78">
        <f t="shared" si="5"/>
        <v>0.2749129311313336</v>
      </c>
      <c r="M33" s="78">
        <f t="shared" si="6"/>
        <v>0.7513048817930611</v>
      </c>
      <c r="N33" s="75">
        <f>ROUND(G33/1000,0)</f>
        <v>670</v>
      </c>
      <c r="O33" s="140" t="str">
        <f t="shared" si="0"/>
        <v>     Izdevumi kapitālieguldījumiem</v>
      </c>
      <c r="P33" s="140">
        <f t="shared" si="1"/>
        <v>2447</v>
      </c>
      <c r="Q33" s="140">
        <f>'[5]februāris'!K33</f>
        <v>1777</v>
      </c>
      <c r="R33" s="44">
        <f t="shared" si="4"/>
        <v>670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</row>
    <row r="34" spans="1:104" s="81" customFormat="1" ht="18.75" customHeight="1">
      <c r="A34" s="80" t="s">
        <v>126</v>
      </c>
      <c r="B34" s="206">
        <f>SUM(B35:B36)</f>
        <v>80356226</v>
      </c>
      <c r="C34" s="206">
        <f>SUM(C35:C36)</f>
        <v>19060560</v>
      </c>
      <c r="D34" s="206">
        <f>SUM(D35:D36)</f>
        <v>18158204.07</v>
      </c>
      <c r="E34" s="200">
        <f t="shared" si="2"/>
        <v>0.22597134004277403</v>
      </c>
      <c r="F34" s="200">
        <f t="shared" si="3"/>
        <v>0.9526584775053829</v>
      </c>
      <c r="G34" s="206">
        <f>SUM(G35:G36)</f>
        <v>6407736.790000001</v>
      </c>
      <c r="H34" s="65" t="s">
        <v>126</v>
      </c>
      <c r="I34" s="52">
        <f>SUM(I35:I36)</f>
        <v>80356</v>
      </c>
      <c r="J34" s="52">
        <f>SUM(J35:J36)</f>
        <v>19061</v>
      </c>
      <c r="K34" s="52">
        <f>SUM(K35:K36)</f>
        <v>18158</v>
      </c>
      <c r="L34" s="54">
        <f t="shared" si="5"/>
        <v>0.22596943600975658</v>
      </c>
      <c r="M34" s="54">
        <f t="shared" si="6"/>
        <v>0.9526257803892766</v>
      </c>
      <c r="N34" s="52">
        <f>SUM(N35:N36)</f>
        <v>6407</v>
      </c>
      <c r="O34" s="140" t="str">
        <f t="shared" si="0"/>
        <v>Iekšlietu ministrija</v>
      </c>
      <c r="P34" s="140">
        <f t="shared" si="1"/>
        <v>18158</v>
      </c>
      <c r="Q34" s="140">
        <f>'[5]februāris'!K34</f>
        <v>11751</v>
      </c>
      <c r="R34" s="44">
        <f t="shared" si="4"/>
        <v>6407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</row>
    <row r="35" spans="1:104" s="205" customFormat="1" ht="12.75">
      <c r="A35" s="202" t="s">
        <v>118</v>
      </c>
      <c r="B35" s="207">
        <v>71471397</v>
      </c>
      <c r="C35" s="207">
        <v>18526510</v>
      </c>
      <c r="D35" s="207">
        <f>18158204.53-380107</f>
        <v>17778097.53</v>
      </c>
      <c r="E35" s="204">
        <f t="shared" si="2"/>
        <v>0.24874422882765257</v>
      </c>
      <c r="F35" s="204">
        <f t="shared" si="3"/>
        <v>0.9596031594725613</v>
      </c>
      <c r="G35" s="207">
        <f>D35-'[5]februāris'!D35</f>
        <v>6223335.370000001</v>
      </c>
      <c r="H35" s="74" t="s">
        <v>118</v>
      </c>
      <c r="I35" s="75">
        <f aca="true" t="shared" si="13" ref="I35:K36">ROUND(B35/1000,0)</f>
        <v>71471</v>
      </c>
      <c r="J35" s="75">
        <f t="shared" si="13"/>
        <v>18527</v>
      </c>
      <c r="K35" s="75">
        <f t="shared" si="13"/>
        <v>17778</v>
      </c>
      <c r="L35" s="78">
        <f t="shared" si="5"/>
        <v>0.24874424591792474</v>
      </c>
      <c r="M35" s="78">
        <f t="shared" si="6"/>
        <v>0.9595725157877693</v>
      </c>
      <c r="N35" s="75">
        <f>ROUND(G35/1000,0)</f>
        <v>6223</v>
      </c>
      <c r="O35" s="140" t="str">
        <f t="shared" si="0"/>
        <v>     Uzturēšanas izdevumi</v>
      </c>
      <c r="P35" s="140">
        <f t="shared" si="1"/>
        <v>17778</v>
      </c>
      <c r="Q35" s="140">
        <f>'[5]februāris'!K35</f>
        <v>11555</v>
      </c>
      <c r="R35" s="44">
        <f t="shared" si="4"/>
        <v>6223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</row>
    <row r="36" spans="1:104" s="205" customFormat="1" ht="25.5">
      <c r="A36" s="202" t="s">
        <v>119</v>
      </c>
      <c r="B36" s="207">
        <v>8884829</v>
      </c>
      <c r="C36" s="207">
        <v>534050</v>
      </c>
      <c r="D36" s="207">
        <f>91415.7+12987+275703.84</f>
        <v>380106.54000000004</v>
      </c>
      <c r="E36" s="204">
        <f t="shared" si="2"/>
        <v>0.04278152567708394</v>
      </c>
      <c r="F36" s="204">
        <f t="shared" si="3"/>
        <v>0.7117433573635428</v>
      </c>
      <c r="G36" s="207">
        <f>D36-'[5]februāris'!D36</f>
        <v>184401.42000000004</v>
      </c>
      <c r="H36" s="74" t="s">
        <v>119</v>
      </c>
      <c r="I36" s="75">
        <f t="shared" si="13"/>
        <v>8885</v>
      </c>
      <c r="J36" s="75">
        <f>ROUND(C36/1000,0)</f>
        <v>534</v>
      </c>
      <c r="K36" s="75">
        <f>ROUND(D36/1000,0)</f>
        <v>380</v>
      </c>
      <c r="L36" s="78">
        <f t="shared" si="5"/>
        <v>0.04276871131119865</v>
      </c>
      <c r="M36" s="78">
        <f t="shared" si="6"/>
        <v>0.7116104868913857</v>
      </c>
      <c r="N36" s="75">
        <f>ROUND(G36/1000,0)</f>
        <v>184</v>
      </c>
      <c r="O36" s="140" t="str">
        <f t="shared" si="0"/>
        <v>     Izdevumi kapitālieguldījumiem</v>
      </c>
      <c r="P36" s="140">
        <f t="shared" si="1"/>
        <v>380</v>
      </c>
      <c r="Q36" s="140">
        <f>'[5]februāris'!K36</f>
        <v>196</v>
      </c>
      <c r="R36" s="44">
        <f t="shared" si="4"/>
        <v>184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</row>
    <row r="37" spans="1:104" s="81" customFormat="1" ht="12.75" customHeight="1">
      <c r="A37" s="129" t="s">
        <v>127</v>
      </c>
      <c r="B37" s="206">
        <f>SUM(B38:B39)</f>
        <v>76848226</v>
      </c>
      <c r="C37" s="206">
        <f>SUM(C38:C39)</f>
        <v>17719201</v>
      </c>
      <c r="D37" s="206">
        <f>SUM(D38:D39)</f>
        <v>14645711.799999999</v>
      </c>
      <c r="E37" s="200">
        <f t="shared" si="2"/>
        <v>0.19057969926332455</v>
      </c>
      <c r="F37" s="200">
        <f t="shared" si="3"/>
        <v>0.8265447070666447</v>
      </c>
      <c r="G37" s="206">
        <f>SUM(G38:G39)</f>
        <v>5127801.879999999</v>
      </c>
      <c r="H37" s="126" t="s">
        <v>127</v>
      </c>
      <c r="I37" s="52">
        <f>SUM(I38:I39)</f>
        <v>76848</v>
      </c>
      <c r="J37" s="52">
        <f>SUM(J38:J39)</f>
        <v>17719</v>
      </c>
      <c r="K37" s="52">
        <f>SUM(K38:K39)</f>
        <v>14646</v>
      </c>
      <c r="L37" s="54">
        <f t="shared" si="5"/>
        <v>0.1905840099937539</v>
      </c>
      <c r="M37" s="54">
        <f t="shared" si="6"/>
        <v>0.8265703482137818</v>
      </c>
      <c r="N37" s="52">
        <f>SUM(N38:N39)</f>
        <v>5127</v>
      </c>
      <c r="O37" s="140" t="str">
        <f t="shared" si="0"/>
        <v>Izglītības un zinātnes ministrija</v>
      </c>
      <c r="P37" s="140">
        <f t="shared" si="1"/>
        <v>14646</v>
      </c>
      <c r="Q37" s="140">
        <f>'[5]februāris'!K37</f>
        <v>9518</v>
      </c>
      <c r="R37" s="44">
        <f t="shared" si="4"/>
        <v>5128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</row>
    <row r="38" spans="1:104" s="205" customFormat="1" ht="14.25" customHeight="1">
      <c r="A38" s="202" t="s">
        <v>118</v>
      </c>
      <c r="B38" s="207">
        <v>71672045</v>
      </c>
      <c r="C38" s="207">
        <v>17029149</v>
      </c>
      <c r="D38" s="207">
        <f>14645711.62-371636</f>
        <v>14274075.62</v>
      </c>
      <c r="E38" s="204">
        <f t="shared" si="2"/>
        <v>0.19915820205771997</v>
      </c>
      <c r="F38" s="204">
        <f t="shared" si="3"/>
        <v>0.8382142654339333</v>
      </c>
      <c r="G38" s="207">
        <f>D38-'[5]februāris'!D38</f>
        <v>4927467.809999999</v>
      </c>
      <c r="H38" s="74" t="s">
        <v>118</v>
      </c>
      <c r="I38" s="75">
        <f aca="true" t="shared" si="14" ref="I38:K39">ROUND(B38/1000,0)</f>
        <v>71672</v>
      </c>
      <c r="J38" s="75">
        <f t="shared" si="14"/>
        <v>17029</v>
      </c>
      <c r="K38" s="75">
        <f t="shared" si="14"/>
        <v>14274</v>
      </c>
      <c r="L38" s="78">
        <f t="shared" si="5"/>
        <v>0.19915727201696617</v>
      </c>
      <c r="M38" s="78">
        <f t="shared" si="6"/>
        <v>0.8382171589641201</v>
      </c>
      <c r="N38" s="75">
        <f>ROUND(G38/1000,0)</f>
        <v>4927</v>
      </c>
      <c r="O38" s="140" t="str">
        <f t="shared" si="0"/>
        <v>     Uzturēšanas izdevumi</v>
      </c>
      <c r="P38" s="140">
        <f t="shared" si="1"/>
        <v>14274</v>
      </c>
      <c r="Q38" s="140">
        <f>'[5]februāris'!K38</f>
        <v>9347</v>
      </c>
      <c r="R38" s="44">
        <f t="shared" si="4"/>
        <v>4927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</row>
    <row r="39" spans="1:104" s="205" customFormat="1" ht="12.75" customHeight="1">
      <c r="A39" s="202" t="s">
        <v>119</v>
      </c>
      <c r="B39" s="207">
        <v>5176181</v>
      </c>
      <c r="C39" s="207">
        <v>690052</v>
      </c>
      <c r="D39" s="207">
        <f>176455.14+300+4180.06+3813.56+32730.88+154156.54</f>
        <v>371636.18000000005</v>
      </c>
      <c r="E39" s="204">
        <f t="shared" si="2"/>
        <v>0.07179736952784303</v>
      </c>
      <c r="F39" s="204">
        <f t="shared" si="3"/>
        <v>0.538562572096016</v>
      </c>
      <c r="G39" s="207">
        <f>D39-'[5]februāris'!D39</f>
        <v>200334.07000000007</v>
      </c>
      <c r="H39" s="74" t="s">
        <v>119</v>
      </c>
      <c r="I39" s="75">
        <f t="shared" si="14"/>
        <v>5176</v>
      </c>
      <c r="J39" s="75">
        <f>ROUND(C39/1000,0)</f>
        <v>690</v>
      </c>
      <c r="K39" s="75">
        <f t="shared" si="14"/>
        <v>372</v>
      </c>
      <c r="L39" s="78">
        <f t="shared" si="5"/>
        <v>0.07187017001545595</v>
      </c>
      <c r="M39" s="78">
        <f t="shared" si="6"/>
        <v>0.5391304347826087</v>
      </c>
      <c r="N39" s="75">
        <f>ROUND(G39/1000,0)</f>
        <v>200</v>
      </c>
      <c r="O39" s="140" t="str">
        <f t="shared" si="0"/>
        <v>     Izdevumi kapitālieguldījumiem</v>
      </c>
      <c r="P39" s="140">
        <f t="shared" si="1"/>
        <v>372</v>
      </c>
      <c r="Q39" s="140">
        <f>'[5]februāris'!K39</f>
        <v>171</v>
      </c>
      <c r="R39" s="44">
        <f t="shared" si="4"/>
        <v>201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</row>
    <row r="40" spans="1:18" ht="15" customHeight="1">
      <c r="A40" s="80" t="s">
        <v>128</v>
      </c>
      <c r="B40" s="206">
        <f>SUM(B41:B42)</f>
        <v>71481894</v>
      </c>
      <c r="C40" s="206">
        <f>SUM(C41:C42)</f>
        <v>13281601</v>
      </c>
      <c r="D40" s="206">
        <f>SUM(D41:D42)</f>
        <v>10837830.82</v>
      </c>
      <c r="E40" s="200">
        <f t="shared" si="2"/>
        <v>0.15161644737617053</v>
      </c>
      <c r="F40" s="200">
        <f t="shared" si="3"/>
        <v>0.8160033432716433</v>
      </c>
      <c r="G40" s="206">
        <f>SUM(G41:G42)</f>
        <v>3527822.1600000006</v>
      </c>
      <c r="H40" s="65" t="s">
        <v>128</v>
      </c>
      <c r="I40" s="52">
        <f>SUM(I41:I42)</f>
        <v>71482</v>
      </c>
      <c r="J40" s="52">
        <f>SUM(J41:J42)</f>
        <v>13281</v>
      </c>
      <c r="K40" s="52">
        <f>SUM(K41:K42)</f>
        <v>10838</v>
      </c>
      <c r="L40" s="54">
        <f t="shared" si="5"/>
        <v>0.1516185892952072</v>
      </c>
      <c r="M40" s="54">
        <f t="shared" si="6"/>
        <v>0.8160530080566223</v>
      </c>
      <c r="N40" s="52">
        <f>SUM(N41:N42)</f>
        <v>3528</v>
      </c>
      <c r="O40" s="140" t="str">
        <f t="shared" si="0"/>
        <v>Zemkopības ministrija</v>
      </c>
      <c r="P40" s="140">
        <f t="shared" si="1"/>
        <v>10838</v>
      </c>
      <c r="Q40" s="140">
        <f>'[5]februāris'!K40</f>
        <v>7310</v>
      </c>
      <c r="R40" s="44">
        <f t="shared" si="4"/>
        <v>3528</v>
      </c>
    </row>
    <row r="41" spans="1:31" s="39" customFormat="1" ht="12.75">
      <c r="A41" s="202" t="s">
        <v>118</v>
      </c>
      <c r="B41" s="207">
        <v>66762744</v>
      </c>
      <c r="C41" s="207">
        <v>12265213</v>
      </c>
      <c r="D41" s="207">
        <f>10911830.56-497926-74000</f>
        <v>10339904.56</v>
      </c>
      <c r="E41" s="204">
        <f t="shared" si="2"/>
        <v>0.15487536821434422</v>
      </c>
      <c r="F41" s="204">
        <f t="shared" si="3"/>
        <v>0.8430269054438762</v>
      </c>
      <c r="G41" s="207">
        <f>D41-'[5]februāris'!D41</f>
        <v>3352908.5600000005</v>
      </c>
      <c r="H41" s="74" t="s">
        <v>118</v>
      </c>
      <c r="I41" s="75">
        <f aca="true" t="shared" si="15" ref="I41:K42">ROUND(B41/1000,0)</f>
        <v>66763</v>
      </c>
      <c r="J41" s="75">
        <f t="shared" si="15"/>
        <v>12265</v>
      </c>
      <c r="K41" s="75">
        <f t="shared" si="15"/>
        <v>10340</v>
      </c>
      <c r="L41" s="78">
        <f t="shared" si="5"/>
        <v>0.15487620388538562</v>
      </c>
      <c r="M41" s="78">
        <f t="shared" si="6"/>
        <v>0.8430493273542601</v>
      </c>
      <c r="N41" s="75">
        <f>ROUND(G41/1000,0)</f>
        <v>3353</v>
      </c>
      <c r="O41" s="140" t="str">
        <f t="shared" si="0"/>
        <v>     Uzturēšanas izdevumi</v>
      </c>
      <c r="P41" s="140">
        <f t="shared" si="1"/>
        <v>10340</v>
      </c>
      <c r="Q41" s="140">
        <f>'[5]februāris'!K41</f>
        <v>6987</v>
      </c>
      <c r="R41" s="44">
        <f t="shared" si="4"/>
        <v>3353</v>
      </c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39" customFormat="1" ht="25.5">
      <c r="A42" s="202" t="s">
        <v>119</v>
      </c>
      <c r="B42" s="207">
        <v>4719150</v>
      </c>
      <c r="C42" s="207">
        <v>1016388</v>
      </c>
      <c r="D42" s="207">
        <f>232722.13+15000+44774.23+199747.9+5682</f>
        <v>497926.26</v>
      </c>
      <c r="E42" s="204">
        <f t="shared" si="2"/>
        <v>0.10551185277009631</v>
      </c>
      <c r="F42" s="204">
        <f t="shared" si="3"/>
        <v>0.4898978146141041</v>
      </c>
      <c r="G42" s="207">
        <f>D42-'[5]februāris'!D42</f>
        <v>174913.60000000003</v>
      </c>
      <c r="H42" s="74" t="s">
        <v>119</v>
      </c>
      <c r="I42" s="75">
        <f t="shared" si="15"/>
        <v>4719</v>
      </c>
      <c r="J42" s="75">
        <f t="shared" si="15"/>
        <v>1016</v>
      </c>
      <c r="K42" s="75">
        <f t="shared" si="15"/>
        <v>498</v>
      </c>
      <c r="L42" s="78">
        <f t="shared" si="5"/>
        <v>0.10553083280356007</v>
      </c>
      <c r="M42" s="78">
        <f t="shared" si="6"/>
        <v>0.49015748031496065</v>
      </c>
      <c r="N42" s="75">
        <f>ROUND(G42/1000,0)</f>
        <v>175</v>
      </c>
      <c r="O42" s="140" t="str">
        <f t="shared" si="0"/>
        <v>     Izdevumi kapitālieguldījumiem</v>
      </c>
      <c r="P42" s="140">
        <f t="shared" si="1"/>
        <v>498</v>
      </c>
      <c r="Q42" s="140">
        <f>'[5]februāris'!K42</f>
        <v>323</v>
      </c>
      <c r="R42" s="44">
        <f t="shared" si="4"/>
        <v>175</v>
      </c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18" ht="12.75" customHeight="1">
      <c r="A43" s="80" t="s">
        <v>129</v>
      </c>
      <c r="B43" s="206">
        <f>SUM(B44:B45)</f>
        <v>13889364</v>
      </c>
      <c r="C43" s="206">
        <f>SUM(C44:C45)</f>
        <v>1921410</v>
      </c>
      <c r="D43" s="206">
        <f>SUM(D44:D45)</f>
        <v>1723653.28</v>
      </c>
      <c r="E43" s="200">
        <f t="shared" si="2"/>
        <v>0.12409879098855786</v>
      </c>
      <c r="F43" s="200">
        <f t="shared" si="3"/>
        <v>0.8970772921968763</v>
      </c>
      <c r="G43" s="206">
        <f>SUM(G44:G45)</f>
        <v>551799.58</v>
      </c>
      <c r="H43" s="65" t="s">
        <v>129</v>
      </c>
      <c r="I43" s="52">
        <f>SUM(I44:I45)</f>
        <v>13890</v>
      </c>
      <c r="J43" s="52">
        <f>SUM(J44:J45)</f>
        <v>1921</v>
      </c>
      <c r="K43" s="52">
        <f>SUM(K44:K45)</f>
        <v>1724</v>
      </c>
      <c r="L43" s="54">
        <f t="shared" si="5"/>
        <v>0.12411807055435566</v>
      </c>
      <c r="M43" s="54">
        <f t="shared" si="6"/>
        <v>0.8974492451847996</v>
      </c>
      <c r="N43" s="52">
        <f>SUM(N44:N45)</f>
        <v>552</v>
      </c>
      <c r="O43" s="140" t="str">
        <f t="shared" si="0"/>
        <v>Satiksmes ministrija</v>
      </c>
      <c r="P43" s="140">
        <f t="shared" si="1"/>
        <v>1724</v>
      </c>
      <c r="Q43" s="140">
        <f>'[5]februāris'!K43</f>
        <v>1172</v>
      </c>
      <c r="R43" s="44">
        <f t="shared" si="4"/>
        <v>552</v>
      </c>
    </row>
    <row r="44" spans="1:31" s="39" customFormat="1" ht="12.75">
      <c r="A44" s="202" t="s">
        <v>118</v>
      </c>
      <c r="B44" s="207">
        <v>6909764</v>
      </c>
      <c r="C44" s="207">
        <v>1653910</v>
      </c>
      <c r="D44" s="207">
        <f>1723652.97-119982</f>
        <v>1603670.97</v>
      </c>
      <c r="E44" s="204">
        <f t="shared" si="2"/>
        <v>0.23208766174937379</v>
      </c>
      <c r="F44" s="204">
        <f t="shared" si="3"/>
        <v>0.9696240847446355</v>
      </c>
      <c r="G44" s="207">
        <f>D44-'[5]februāris'!D44</f>
        <v>546002.45</v>
      </c>
      <c r="H44" s="74" t="s">
        <v>118</v>
      </c>
      <c r="I44" s="75">
        <f>ROUND(B44/1000,0)</f>
        <v>6910</v>
      </c>
      <c r="J44" s="75">
        <f>ROUND(C44/1000,0)</f>
        <v>1654</v>
      </c>
      <c r="K44" s="75">
        <f aca="true" t="shared" si="16" ref="I44:K45">ROUND(D44/1000,0)</f>
        <v>1604</v>
      </c>
      <c r="L44" s="78">
        <f t="shared" si="5"/>
        <v>0.23212735166425472</v>
      </c>
      <c r="M44" s="78">
        <f t="shared" si="6"/>
        <v>0.969770253929867</v>
      </c>
      <c r="N44" s="75">
        <f>ROUND(G44/1000,0)</f>
        <v>546</v>
      </c>
      <c r="O44" s="140" t="str">
        <f t="shared" si="0"/>
        <v>     Uzturēšanas izdevumi</v>
      </c>
      <c r="P44" s="140">
        <f t="shared" si="1"/>
        <v>1604</v>
      </c>
      <c r="Q44" s="140">
        <f>'[5]februāris'!K44</f>
        <v>1058</v>
      </c>
      <c r="R44" s="44">
        <f t="shared" si="4"/>
        <v>546</v>
      </c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39" customFormat="1" ht="25.5">
      <c r="A45" s="202" t="s">
        <v>119</v>
      </c>
      <c r="B45" s="207">
        <v>6979600</v>
      </c>
      <c r="C45" s="207">
        <v>267500</v>
      </c>
      <c r="D45" s="207">
        <f>775.83+119206.48</f>
        <v>119982.31</v>
      </c>
      <c r="E45" s="204">
        <f t="shared" si="2"/>
        <v>0.01719042781821308</v>
      </c>
      <c r="F45" s="204">
        <f t="shared" si="3"/>
        <v>0.448532</v>
      </c>
      <c r="G45" s="207">
        <f>D45-'[5]februāris'!D45</f>
        <v>5797.130000000005</v>
      </c>
      <c r="H45" s="74" t="s">
        <v>119</v>
      </c>
      <c r="I45" s="75">
        <f t="shared" si="16"/>
        <v>6980</v>
      </c>
      <c r="J45" s="75">
        <f>ROUND(C45/1000,0)-1</f>
        <v>267</v>
      </c>
      <c r="K45" s="75">
        <f t="shared" si="16"/>
        <v>120</v>
      </c>
      <c r="L45" s="78">
        <f t="shared" si="5"/>
        <v>0.017191977077363897</v>
      </c>
      <c r="M45" s="78">
        <f t="shared" si="6"/>
        <v>0.449438202247191</v>
      </c>
      <c r="N45" s="75">
        <f>ROUND(G45/1000,0)</f>
        <v>6</v>
      </c>
      <c r="O45" s="140" t="str">
        <f t="shared" si="0"/>
        <v>     Izdevumi kapitālieguldījumiem</v>
      </c>
      <c r="P45" s="140">
        <f t="shared" si="1"/>
        <v>120</v>
      </c>
      <c r="Q45" s="140">
        <f>'[5]februāris'!K45</f>
        <v>114</v>
      </c>
      <c r="R45" s="44">
        <f t="shared" si="4"/>
        <v>6</v>
      </c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18" ht="15" customHeight="1">
      <c r="A46" s="80" t="s">
        <v>130</v>
      </c>
      <c r="B46" s="206">
        <f>SUM(B47:B48)</f>
        <v>157533223</v>
      </c>
      <c r="C46" s="206">
        <f>SUM(C47:C48)</f>
        <v>37207735</v>
      </c>
      <c r="D46" s="206">
        <f>SUM(D47:D48)</f>
        <v>36769635.03</v>
      </c>
      <c r="E46" s="200">
        <f t="shared" si="2"/>
        <v>0.23340876501968097</v>
      </c>
      <c r="F46" s="200">
        <f t="shared" si="3"/>
        <v>0.9882255673450695</v>
      </c>
      <c r="G46" s="206">
        <f>SUM(G47:G48)</f>
        <v>12396139.41</v>
      </c>
      <c r="H46" s="65" t="s">
        <v>130</v>
      </c>
      <c r="I46" s="52">
        <f>SUM(I47:I48)</f>
        <v>157534</v>
      </c>
      <c r="J46" s="52">
        <f>SUM(J47:J48)</f>
        <v>37208</v>
      </c>
      <c r="K46" s="52">
        <f>SUM(K47:K48)</f>
        <v>36770</v>
      </c>
      <c r="L46" s="54">
        <f t="shared" si="5"/>
        <v>0.2334099305546739</v>
      </c>
      <c r="M46" s="54">
        <f t="shared" si="6"/>
        <v>0.9882283379918297</v>
      </c>
      <c r="N46" s="52">
        <f>SUM(N47:N48)</f>
        <v>12396</v>
      </c>
      <c r="O46" s="140" t="str">
        <f t="shared" si="0"/>
        <v>Labklājības ministrija</v>
      </c>
      <c r="P46" s="140">
        <f t="shared" si="1"/>
        <v>36770</v>
      </c>
      <c r="Q46" s="140">
        <f>'[5]februāris'!K46</f>
        <v>24373</v>
      </c>
      <c r="R46" s="44">
        <f t="shared" si="4"/>
        <v>12397</v>
      </c>
    </row>
    <row r="47" spans="1:31" s="39" customFormat="1" ht="12.75">
      <c r="A47" s="202" t="s">
        <v>118</v>
      </c>
      <c r="B47" s="207">
        <v>153188509</v>
      </c>
      <c r="C47" s="207">
        <v>36756849</v>
      </c>
      <c r="D47" s="207">
        <f>36769635.06-334991</f>
        <v>36434644.06</v>
      </c>
      <c r="E47" s="204">
        <f t="shared" si="2"/>
        <v>0.23784188708305792</v>
      </c>
      <c r="F47" s="204">
        <f t="shared" si="3"/>
        <v>0.991234152307234</v>
      </c>
      <c r="G47" s="207">
        <f>D47-'[5]februāris'!D47</f>
        <v>12266329.96</v>
      </c>
      <c r="H47" s="74" t="s">
        <v>118</v>
      </c>
      <c r="I47" s="75">
        <f aca="true" t="shared" si="17" ref="I47:K48">ROUND(B47/1000,0)</f>
        <v>153189</v>
      </c>
      <c r="J47" s="75">
        <f>ROUND(C47/1000,0)</f>
        <v>36757</v>
      </c>
      <c r="K47" s="75">
        <f t="shared" si="17"/>
        <v>36435</v>
      </c>
      <c r="L47" s="78">
        <f t="shared" si="5"/>
        <v>0.23784344828936804</v>
      </c>
      <c r="M47" s="78">
        <f t="shared" si="6"/>
        <v>0.9912397638545039</v>
      </c>
      <c r="N47" s="75">
        <f>ROUND(G47/1000,0)</f>
        <v>12266</v>
      </c>
      <c r="O47" s="140" t="str">
        <f t="shared" si="0"/>
        <v>     Uzturēšanas izdevumi</v>
      </c>
      <c r="P47" s="140">
        <f t="shared" si="1"/>
        <v>36435</v>
      </c>
      <c r="Q47" s="140">
        <f>'[5]februāris'!K47</f>
        <v>24168</v>
      </c>
      <c r="R47" s="44">
        <f t="shared" si="4"/>
        <v>12267</v>
      </c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39" customFormat="1" ht="25.5">
      <c r="A48" s="202" t="s">
        <v>119</v>
      </c>
      <c r="B48" s="207">
        <v>4344714</v>
      </c>
      <c r="C48" s="207">
        <v>450886</v>
      </c>
      <c r="D48" s="207">
        <f>114020.22+400.11+2000+80094.85+138475.79</f>
        <v>334990.97</v>
      </c>
      <c r="E48" s="204">
        <f t="shared" si="2"/>
        <v>0.07710311196548264</v>
      </c>
      <c r="F48" s="204">
        <f t="shared" si="3"/>
        <v>0.7429615689997028</v>
      </c>
      <c r="G48" s="207">
        <f>D48-'[5]februāris'!D48</f>
        <v>129809.44999999998</v>
      </c>
      <c r="H48" s="74" t="s">
        <v>119</v>
      </c>
      <c r="I48" s="75">
        <f t="shared" si="17"/>
        <v>4345</v>
      </c>
      <c r="J48" s="75">
        <f>ROUND(C48/1000,0)</f>
        <v>451</v>
      </c>
      <c r="K48" s="75">
        <f>ROUND(D48/1000,0)</f>
        <v>335</v>
      </c>
      <c r="L48" s="78">
        <f t="shared" si="5"/>
        <v>0.07710011507479862</v>
      </c>
      <c r="M48" s="78">
        <f t="shared" si="6"/>
        <v>0.7427937915742794</v>
      </c>
      <c r="N48" s="75">
        <f>ROUND(G48/1000,0)</f>
        <v>130</v>
      </c>
      <c r="O48" s="140" t="str">
        <f t="shared" si="0"/>
        <v>     Izdevumi kapitālieguldījumiem</v>
      </c>
      <c r="P48" s="140">
        <f t="shared" si="1"/>
        <v>335</v>
      </c>
      <c r="Q48" s="140">
        <f>'[5]februāris'!K48</f>
        <v>205</v>
      </c>
      <c r="R48" s="44">
        <f t="shared" si="4"/>
        <v>130</v>
      </c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18" ht="15.75" customHeight="1">
      <c r="A49" s="80" t="s">
        <v>289</v>
      </c>
      <c r="B49" s="206">
        <f>SUM(B50:B51)</f>
        <v>28718346</v>
      </c>
      <c r="C49" s="206">
        <f>SUM(C50:C51)</f>
        <v>7132090</v>
      </c>
      <c r="D49" s="206">
        <f>SUM(D50:D51)</f>
        <v>6623999.48</v>
      </c>
      <c r="E49" s="200">
        <f t="shared" si="2"/>
        <v>0.23065393389995373</v>
      </c>
      <c r="F49" s="200">
        <f t="shared" si="3"/>
        <v>0.9287599399334557</v>
      </c>
      <c r="G49" s="206">
        <f>SUM(G50:G51)</f>
        <v>2760955.63</v>
      </c>
      <c r="H49" s="65" t="s">
        <v>289</v>
      </c>
      <c r="I49" s="52">
        <f>SUM(I50:I51)</f>
        <v>28718</v>
      </c>
      <c r="J49" s="52">
        <f>SUM(J50:J51)</f>
        <v>7132</v>
      </c>
      <c r="K49" s="52">
        <f>SUM(K50:K51)</f>
        <v>6624</v>
      </c>
      <c r="L49" s="54">
        <f t="shared" si="5"/>
        <v>0.23065673097012326</v>
      </c>
      <c r="M49" s="54">
        <f t="shared" si="6"/>
        <v>0.928771733034212</v>
      </c>
      <c r="N49" s="52">
        <f>SUM(N50:N51)</f>
        <v>2761</v>
      </c>
      <c r="O49" s="140" t="str">
        <f t="shared" si="0"/>
        <v>Tieslietu ministrija</v>
      </c>
      <c r="P49" s="140">
        <f t="shared" si="1"/>
        <v>6624</v>
      </c>
      <c r="Q49" s="140">
        <f>'[5]februāris'!K49</f>
        <v>3863</v>
      </c>
      <c r="R49" s="44">
        <f t="shared" si="4"/>
        <v>2761</v>
      </c>
    </row>
    <row r="50" spans="1:31" s="39" customFormat="1" ht="12.75">
      <c r="A50" s="202" t="s">
        <v>118</v>
      </c>
      <c r="B50" s="207">
        <v>25357301</v>
      </c>
      <c r="C50" s="207">
        <v>6392630</v>
      </c>
      <c r="D50" s="207">
        <f>6623999.96-594272</f>
        <v>6029727.96</v>
      </c>
      <c r="E50" s="204">
        <f t="shared" si="2"/>
        <v>0.23779060555380085</v>
      </c>
      <c r="F50" s="204">
        <f t="shared" si="3"/>
        <v>0.9432311834096452</v>
      </c>
      <c r="G50" s="207">
        <f>D50-'[5]februāris'!D50</f>
        <v>2460674.11</v>
      </c>
      <c r="H50" s="74" t="s">
        <v>118</v>
      </c>
      <c r="I50" s="75">
        <f aca="true" t="shared" si="18" ref="I50:K51">ROUND(B50/1000,0)</f>
        <v>25357</v>
      </c>
      <c r="J50" s="75">
        <f t="shared" si="18"/>
        <v>6393</v>
      </c>
      <c r="K50" s="75">
        <f>ROUND(D50/1000,0)</f>
        <v>6030</v>
      </c>
      <c r="L50" s="78">
        <f t="shared" si="5"/>
        <v>0.237804156643136</v>
      </c>
      <c r="M50" s="78">
        <f t="shared" si="6"/>
        <v>0.9432191459408729</v>
      </c>
      <c r="N50" s="75">
        <f>ROUND(G50/1000,0)</f>
        <v>2461</v>
      </c>
      <c r="O50" s="140" t="str">
        <f t="shared" si="0"/>
        <v>     Uzturēšanas izdevumi</v>
      </c>
      <c r="P50" s="140">
        <f t="shared" si="1"/>
        <v>6030</v>
      </c>
      <c r="Q50" s="140">
        <f>'[5]februāris'!K50</f>
        <v>3569</v>
      </c>
      <c r="R50" s="44">
        <f t="shared" si="4"/>
        <v>2461</v>
      </c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39" customFormat="1" ht="16.5" customHeight="1">
      <c r="A51" s="202" t="s">
        <v>119</v>
      </c>
      <c r="B51" s="207">
        <v>3361045</v>
      </c>
      <c r="C51" s="207">
        <v>739460</v>
      </c>
      <c r="D51" s="207">
        <f>134545.61+11369.91+448356</f>
        <v>594271.52</v>
      </c>
      <c r="E51" s="204">
        <f t="shared" si="2"/>
        <v>0.17681153331776278</v>
      </c>
      <c r="F51" s="204">
        <f t="shared" si="3"/>
        <v>0.8036560733508236</v>
      </c>
      <c r="G51" s="207">
        <f>D51-'[5]februāris'!D51</f>
        <v>300281.52</v>
      </c>
      <c r="H51" s="74" t="s">
        <v>119</v>
      </c>
      <c r="I51" s="75">
        <f t="shared" si="18"/>
        <v>3361</v>
      </c>
      <c r="J51" s="75">
        <f t="shared" si="18"/>
        <v>739</v>
      </c>
      <c r="K51" s="75">
        <f t="shared" si="18"/>
        <v>594</v>
      </c>
      <c r="L51" s="78">
        <f t="shared" si="5"/>
        <v>0.1767331151443023</v>
      </c>
      <c r="M51" s="78">
        <f t="shared" si="6"/>
        <v>0.803788903924222</v>
      </c>
      <c r="N51" s="75">
        <f>ROUND(G51/1000,0)</f>
        <v>300</v>
      </c>
      <c r="O51" s="140" t="str">
        <f t="shared" si="0"/>
        <v>     Izdevumi kapitālieguldījumiem</v>
      </c>
      <c r="P51" s="140">
        <f t="shared" si="1"/>
        <v>594</v>
      </c>
      <c r="Q51" s="140">
        <f>'[5]februāris'!K51</f>
        <v>294</v>
      </c>
      <c r="R51" s="44">
        <f t="shared" si="4"/>
        <v>300</v>
      </c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18" ht="69.75" customHeight="1" hidden="1">
      <c r="A52" s="198" t="s">
        <v>59</v>
      </c>
      <c r="B52" s="198" t="s">
        <v>110</v>
      </c>
      <c r="C52" s="198" t="s">
        <v>111</v>
      </c>
      <c r="D52" s="198" t="s">
        <v>112</v>
      </c>
      <c r="E52" s="198" t="s">
        <v>113</v>
      </c>
      <c r="F52" s="198" t="s">
        <v>114</v>
      </c>
      <c r="G52" s="209" t="e">
        <f>D52-'[5]Janvāris'!D52</f>
        <v>#VALUE!</v>
      </c>
      <c r="H52" s="140" t="s">
        <v>59</v>
      </c>
      <c r="I52" s="140" t="s">
        <v>110</v>
      </c>
      <c r="J52" s="140" t="s">
        <v>111</v>
      </c>
      <c r="K52" s="140" t="s">
        <v>112</v>
      </c>
      <c r="L52" s="140" t="s">
        <v>113</v>
      </c>
      <c r="M52" s="140" t="s">
        <v>114</v>
      </c>
      <c r="N52" s="140" t="s">
        <v>112</v>
      </c>
      <c r="O52" s="140" t="str">
        <f t="shared" si="0"/>
        <v>Rādītāji</v>
      </c>
      <c r="P52" s="140" t="str">
        <f t="shared" si="1"/>
        <v>Izpilde no gada sākuma</v>
      </c>
      <c r="Q52" s="140" t="str">
        <f>'[5]februāris'!K52</f>
        <v>Izpilde no gada sākuma</v>
      </c>
      <c r="R52" s="44" t="e">
        <f t="shared" si="4"/>
        <v>#VALUE!</v>
      </c>
    </row>
    <row r="53" spans="1:18" ht="12.75" hidden="1">
      <c r="A53" s="198">
        <v>1</v>
      </c>
      <c r="B53" s="198">
        <v>2</v>
      </c>
      <c r="C53" s="198">
        <v>3</v>
      </c>
      <c r="D53" s="198">
        <v>4</v>
      </c>
      <c r="E53" s="198">
        <v>5</v>
      </c>
      <c r="F53" s="198">
        <v>6</v>
      </c>
      <c r="G53" s="209">
        <f>D53-'[5]Janvāris'!D53</f>
        <v>0</v>
      </c>
      <c r="H53" s="140">
        <v>1</v>
      </c>
      <c r="I53" s="140">
        <v>2</v>
      </c>
      <c r="J53" s="140">
        <v>3</v>
      </c>
      <c r="K53" s="140">
        <v>4</v>
      </c>
      <c r="L53" s="140">
        <v>5</v>
      </c>
      <c r="M53" s="140">
        <v>6</v>
      </c>
      <c r="N53" s="140">
        <v>4</v>
      </c>
      <c r="O53" s="140">
        <f t="shared" si="0"/>
        <v>1</v>
      </c>
      <c r="P53" s="140">
        <f t="shared" si="1"/>
        <v>4</v>
      </c>
      <c r="Q53" s="140">
        <f>'[5]februāris'!K53</f>
        <v>4</v>
      </c>
      <c r="R53" s="44">
        <f t="shared" si="4"/>
        <v>0</v>
      </c>
    </row>
    <row r="54" spans="1:18" ht="38.25">
      <c r="A54" s="129" t="s">
        <v>290</v>
      </c>
      <c r="B54" s="206">
        <f>SUM(B55:B56)</f>
        <v>8868401</v>
      </c>
      <c r="C54" s="206">
        <f>SUM(C55:C56)</f>
        <v>2087548</v>
      </c>
      <c r="D54" s="206">
        <f>SUM(D55:D56)</f>
        <v>1760946.5</v>
      </c>
      <c r="E54" s="200">
        <f t="shared" si="2"/>
        <v>0.1985641492756135</v>
      </c>
      <c r="F54" s="200">
        <f t="shared" si="3"/>
        <v>0.843547789080778</v>
      </c>
      <c r="G54" s="206">
        <f>SUM(G55:G56)</f>
        <v>666468.6099999999</v>
      </c>
      <c r="H54" s="126" t="s">
        <v>290</v>
      </c>
      <c r="I54" s="52">
        <f>SUM(I55:I56)</f>
        <v>8868</v>
      </c>
      <c r="J54" s="52">
        <f>SUM(J55:J56)</f>
        <v>2087</v>
      </c>
      <c r="K54" s="52">
        <f>SUM(K55:K56)</f>
        <v>1761</v>
      </c>
      <c r="L54" s="54">
        <f aca="true" t="shared" si="19" ref="L54:L96">IF(ISERROR(ROUND(K54,0)/ROUND(I54,0))," ",(ROUND(K54,)/ROUND(I54,)))</f>
        <v>0.19857916102841677</v>
      </c>
      <c r="M54" s="54">
        <f aca="true" t="shared" si="20" ref="M54:M96">IF(ISERROR(ROUND(K54,0)/ROUND(J54,0))," ",(ROUND(K54,)/ROUND(J54,)))</f>
        <v>0.8437949209391471</v>
      </c>
      <c r="N54" s="52">
        <f>SUM(N55:N56)</f>
        <v>666</v>
      </c>
      <c r="O54" s="140" t="str">
        <f t="shared" si="0"/>
        <v>Vides aizsardzības un reģionālās attīstības ministrija</v>
      </c>
      <c r="P54" s="140">
        <f t="shared" si="1"/>
        <v>1761</v>
      </c>
      <c r="Q54" s="140">
        <f>'[5]februāris'!K54</f>
        <v>1095</v>
      </c>
      <c r="R54" s="44">
        <f t="shared" si="4"/>
        <v>666</v>
      </c>
    </row>
    <row r="55" spans="1:31" s="39" customFormat="1" ht="12.75">
      <c r="A55" s="202" t="s">
        <v>118</v>
      </c>
      <c r="B55" s="207">
        <v>7581021</v>
      </c>
      <c r="C55" s="207">
        <v>1755174</v>
      </c>
      <c r="D55" s="207">
        <f>1760946.66-269961</f>
        <v>1490985.66</v>
      </c>
      <c r="E55" s="210">
        <f t="shared" si="2"/>
        <v>0.1966734639041364</v>
      </c>
      <c r="F55" s="210">
        <f t="shared" si="3"/>
        <v>0.8494802566583142</v>
      </c>
      <c r="G55" s="207">
        <f>D55-'[5]februāris'!D55</f>
        <v>559454.7699999999</v>
      </c>
      <c r="H55" s="74" t="s">
        <v>118</v>
      </c>
      <c r="I55" s="75">
        <f aca="true" t="shared" si="21" ref="I55:K58">ROUND(B55/1000,0)</f>
        <v>7581</v>
      </c>
      <c r="J55" s="75">
        <f>ROUND(C55/1000,0)</f>
        <v>1755</v>
      </c>
      <c r="K55" s="75">
        <f>ROUND(D55/1000,0)</f>
        <v>1491</v>
      </c>
      <c r="L55" s="78">
        <f t="shared" si="19"/>
        <v>0.19667590027700832</v>
      </c>
      <c r="M55" s="78">
        <f t="shared" si="20"/>
        <v>0.8495726495726496</v>
      </c>
      <c r="N55" s="75">
        <f>ROUND(G55/1000,0)</f>
        <v>559</v>
      </c>
      <c r="O55" s="140" t="str">
        <f t="shared" si="0"/>
        <v>     Uzturēšanas izdevumi</v>
      </c>
      <c r="P55" s="140">
        <f t="shared" si="1"/>
        <v>1491</v>
      </c>
      <c r="Q55" s="140">
        <f>'[5]februāris'!K55</f>
        <v>932</v>
      </c>
      <c r="R55" s="44">
        <f t="shared" si="4"/>
        <v>559</v>
      </c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39" customFormat="1" ht="12.75" customHeight="1">
      <c r="A56" s="211" t="s">
        <v>119</v>
      </c>
      <c r="B56" s="207">
        <v>1287380</v>
      </c>
      <c r="C56" s="207">
        <v>332374</v>
      </c>
      <c r="D56" s="207">
        <f>10451.8+259509.04</f>
        <v>269960.84</v>
      </c>
      <c r="E56" s="210">
        <f t="shared" si="2"/>
        <v>0.2096978669856608</v>
      </c>
      <c r="F56" s="210">
        <f t="shared" si="3"/>
        <v>0.8122200894173431</v>
      </c>
      <c r="G56" s="207">
        <f>D56-'[5]februāris'!D56</f>
        <v>107013.84000000003</v>
      </c>
      <c r="H56" s="83" t="s">
        <v>119</v>
      </c>
      <c r="I56" s="75">
        <f t="shared" si="21"/>
        <v>1287</v>
      </c>
      <c r="J56" s="75">
        <f t="shared" si="21"/>
        <v>332</v>
      </c>
      <c r="K56" s="75">
        <f t="shared" si="21"/>
        <v>270</v>
      </c>
      <c r="L56" s="78">
        <f t="shared" si="19"/>
        <v>0.2097902097902098</v>
      </c>
      <c r="M56" s="78">
        <f t="shared" si="20"/>
        <v>0.8132530120481928</v>
      </c>
      <c r="N56" s="75">
        <f>ROUND(G56/1000,0)</f>
        <v>107</v>
      </c>
      <c r="O56" s="140" t="str">
        <f t="shared" si="0"/>
        <v>     Izdevumi kapitālieguldījumiem</v>
      </c>
      <c r="P56" s="140">
        <f t="shared" si="1"/>
        <v>270</v>
      </c>
      <c r="Q56" s="140">
        <f>'[5]februāris'!K56</f>
        <v>163</v>
      </c>
      <c r="R56" s="44">
        <f t="shared" si="4"/>
        <v>107</v>
      </c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18" ht="13.5" customHeight="1">
      <c r="A57" s="80" t="s">
        <v>291</v>
      </c>
      <c r="B57" s="206">
        <f>B58+B59</f>
        <v>16429548</v>
      </c>
      <c r="C57" s="206">
        <f>C58+C59</f>
        <v>4377412</v>
      </c>
      <c r="D57" s="206">
        <f>D58+D59</f>
        <v>4103419.62</v>
      </c>
      <c r="E57" s="200">
        <f t="shared" si="2"/>
        <v>0.24975852165866036</v>
      </c>
      <c r="F57" s="200">
        <f t="shared" si="3"/>
        <v>0.9374076783268288</v>
      </c>
      <c r="G57" s="206">
        <f>SUM(G58:G59)</f>
        <v>1325966.9900000002</v>
      </c>
      <c r="H57" s="65" t="s">
        <v>291</v>
      </c>
      <c r="I57" s="212">
        <f t="shared" si="21"/>
        <v>16430</v>
      </c>
      <c r="J57" s="52">
        <f>SUM(J58:J59)</f>
        <v>4377</v>
      </c>
      <c r="K57" s="52">
        <f>SUM(K58:K59)</f>
        <v>4104</v>
      </c>
      <c r="L57" s="54">
        <f t="shared" si="19"/>
        <v>0.2497869750456482</v>
      </c>
      <c r="M57" s="54">
        <f t="shared" si="20"/>
        <v>0.9376285126799178</v>
      </c>
      <c r="N57" s="52">
        <f>SUM(N58:N59)</f>
        <v>1326</v>
      </c>
      <c r="O57" s="140" t="str">
        <f t="shared" si="0"/>
        <v>Kultūras ministrija</v>
      </c>
      <c r="P57" s="140">
        <f t="shared" si="1"/>
        <v>4104</v>
      </c>
      <c r="Q57" s="140">
        <f>'[5]februāris'!K57</f>
        <v>2777</v>
      </c>
      <c r="R57" s="44">
        <f t="shared" si="4"/>
        <v>1327</v>
      </c>
    </row>
    <row r="58" spans="1:31" s="39" customFormat="1" ht="13.5" customHeight="1">
      <c r="A58" s="202" t="s">
        <v>118</v>
      </c>
      <c r="B58" s="207">
        <v>14801982</v>
      </c>
      <c r="C58" s="207">
        <v>4009202</v>
      </c>
      <c r="D58" s="207">
        <f>4103419.85-231849</f>
        <v>3871570.85</v>
      </c>
      <c r="E58" s="210">
        <f t="shared" si="2"/>
        <v>0.26155759748930923</v>
      </c>
      <c r="F58" s="210"/>
      <c r="G58" s="207">
        <f>D58-'[5]februāris'!D58</f>
        <v>1219747.85</v>
      </c>
      <c r="H58" s="74" t="s">
        <v>118</v>
      </c>
      <c r="I58" s="75">
        <f t="shared" si="21"/>
        <v>14802</v>
      </c>
      <c r="J58" s="75">
        <f t="shared" si="21"/>
        <v>4009</v>
      </c>
      <c r="K58" s="75">
        <f>ROUND(D58/1000,0)</f>
        <v>3872</v>
      </c>
      <c r="L58" s="77">
        <f t="shared" si="19"/>
        <v>0.2615862721253885</v>
      </c>
      <c r="M58" s="77"/>
      <c r="N58" s="75">
        <f>ROUND(G58/1000,0)</f>
        <v>1220</v>
      </c>
      <c r="O58" s="140" t="str">
        <f t="shared" si="0"/>
        <v>     Uzturēšanas izdevumi</v>
      </c>
      <c r="P58" s="140">
        <f t="shared" si="1"/>
        <v>3872</v>
      </c>
      <c r="Q58" s="140">
        <f>'[5]februāris'!K58</f>
        <v>2652</v>
      </c>
      <c r="R58" s="44">
        <f t="shared" si="4"/>
        <v>1220</v>
      </c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39" customFormat="1" ht="25.5">
      <c r="A59" s="202" t="s">
        <v>119</v>
      </c>
      <c r="B59" s="207">
        <v>1627566</v>
      </c>
      <c r="C59" s="207">
        <v>368210</v>
      </c>
      <c r="D59" s="207">
        <f>3969.16+22762.72+205116.89</f>
        <v>231848.77000000002</v>
      </c>
      <c r="E59" s="204">
        <f t="shared" si="2"/>
        <v>0.14245122471223903</v>
      </c>
      <c r="F59" s="204">
        <f t="shared" si="3"/>
        <v>0.6296645120990739</v>
      </c>
      <c r="G59" s="207">
        <f>D59-'[5]februāris'!D59</f>
        <v>106219.14000000001</v>
      </c>
      <c r="H59" s="74" t="s">
        <v>119</v>
      </c>
      <c r="I59" s="75">
        <f>ROUND(B59/1000,0)</f>
        <v>1628</v>
      </c>
      <c r="J59" s="75">
        <f>ROUND(C59/1000,0)</f>
        <v>368</v>
      </c>
      <c r="K59" s="75">
        <f>ROUND(D59/1000,0)</f>
        <v>232</v>
      </c>
      <c r="L59" s="78">
        <f t="shared" si="19"/>
        <v>0.14250614250614252</v>
      </c>
      <c r="M59" s="78">
        <f t="shared" si="20"/>
        <v>0.6304347826086957</v>
      </c>
      <c r="N59" s="75">
        <f>ROUND(G59/1000,0)</f>
        <v>106</v>
      </c>
      <c r="O59" s="140" t="str">
        <f t="shared" si="0"/>
        <v>     Izdevumi kapitālieguldījumiem</v>
      </c>
      <c r="P59" s="140">
        <f t="shared" si="1"/>
        <v>232</v>
      </c>
      <c r="Q59" s="140">
        <f>'[5]februāris'!K59</f>
        <v>125</v>
      </c>
      <c r="R59" s="44">
        <f t="shared" si="4"/>
        <v>107</v>
      </c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18" ht="12.75">
      <c r="A60" s="80" t="s">
        <v>292</v>
      </c>
      <c r="B60" s="206">
        <f>SUM(B61:B62)</f>
        <v>14846381</v>
      </c>
      <c r="C60" s="206">
        <f>SUM(C61:C62)</f>
        <v>3618993</v>
      </c>
      <c r="D60" s="206">
        <f>SUM(D61:D62)</f>
        <v>2922190.37</v>
      </c>
      <c r="E60" s="200">
        <f t="shared" si="2"/>
        <v>0.19682846412199714</v>
      </c>
      <c r="F60" s="200">
        <f t="shared" si="3"/>
        <v>0.8074595253430996</v>
      </c>
      <c r="G60" s="206">
        <f>SUM(G61:G62)</f>
        <v>1145485.77</v>
      </c>
      <c r="H60" s="65" t="s">
        <v>292</v>
      </c>
      <c r="I60" s="52">
        <f>SUM(I61:I62)</f>
        <v>14847</v>
      </c>
      <c r="J60" s="52">
        <f>SUM(J61:J62)</f>
        <v>3619</v>
      </c>
      <c r="K60" s="52">
        <f>SUM(K61:K62)</f>
        <v>2922</v>
      </c>
      <c r="L60" s="54">
        <f t="shared" si="19"/>
        <v>0.19680743584562538</v>
      </c>
      <c r="M60" s="54">
        <f t="shared" si="20"/>
        <v>0.80740536059685</v>
      </c>
      <c r="N60" s="52">
        <f>SUM(N61:N62)</f>
        <v>1145</v>
      </c>
      <c r="O60" s="140" t="str">
        <f t="shared" si="0"/>
        <v>Valsts zemes dienests</v>
      </c>
      <c r="P60" s="140">
        <f t="shared" si="1"/>
        <v>2922</v>
      </c>
      <c r="Q60" s="140">
        <f>'[5]februāris'!K60</f>
        <v>1777</v>
      </c>
      <c r="R60" s="44">
        <f t="shared" si="4"/>
        <v>1145</v>
      </c>
    </row>
    <row r="61" spans="1:31" s="39" customFormat="1" ht="12.75">
      <c r="A61" s="202" t="s">
        <v>118</v>
      </c>
      <c r="B61" s="207">
        <v>13564881</v>
      </c>
      <c r="C61" s="207">
        <v>3296842</v>
      </c>
      <c r="D61" s="207">
        <f>2922190.38-176022</f>
        <v>2746168.38</v>
      </c>
      <c r="E61" s="204">
        <f t="shared" si="2"/>
        <v>0.20244692010198984</v>
      </c>
      <c r="F61" s="204">
        <f t="shared" si="3"/>
        <v>0.8329693628023424</v>
      </c>
      <c r="G61" s="207">
        <f>D61-'[5]februāris'!D61</f>
        <v>1073030.42</v>
      </c>
      <c r="H61" s="74" t="s">
        <v>118</v>
      </c>
      <c r="I61" s="75">
        <f aca="true" t="shared" si="22" ref="I61:K62">ROUND(B61/1000,0)</f>
        <v>13565</v>
      </c>
      <c r="J61" s="75">
        <f t="shared" si="22"/>
        <v>3297</v>
      </c>
      <c r="K61" s="75">
        <f t="shared" si="22"/>
        <v>2746</v>
      </c>
      <c r="L61" s="78">
        <f t="shared" si="19"/>
        <v>0.20243273129377073</v>
      </c>
      <c r="M61" s="78">
        <f t="shared" si="20"/>
        <v>0.8328783742796482</v>
      </c>
      <c r="N61" s="75">
        <f>ROUND(G61/1000,0)</f>
        <v>1073</v>
      </c>
      <c r="O61" s="140" t="str">
        <f t="shared" si="0"/>
        <v>     Uzturēšanas izdevumi</v>
      </c>
      <c r="P61" s="140">
        <f t="shared" si="1"/>
        <v>2746</v>
      </c>
      <c r="Q61" s="140">
        <f>'[5]februāris'!K61</f>
        <v>1673</v>
      </c>
      <c r="R61" s="44">
        <f t="shared" si="4"/>
        <v>1073</v>
      </c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39" customFormat="1" ht="25.5">
      <c r="A62" s="202" t="s">
        <v>119</v>
      </c>
      <c r="B62" s="207">
        <v>1281500</v>
      </c>
      <c r="C62" s="207">
        <v>322151</v>
      </c>
      <c r="D62" s="207">
        <f>64220.86+1519.19+110281.94</f>
        <v>176021.99</v>
      </c>
      <c r="E62" s="204">
        <f t="shared" si="2"/>
        <v>0.13735621537261022</v>
      </c>
      <c r="F62" s="204">
        <f t="shared" si="3"/>
        <v>0.5463959137174803</v>
      </c>
      <c r="G62" s="207">
        <f>D62-'[5]februāris'!D62</f>
        <v>72455.34999999999</v>
      </c>
      <c r="H62" s="74" t="s">
        <v>119</v>
      </c>
      <c r="I62" s="75">
        <f t="shared" si="22"/>
        <v>1282</v>
      </c>
      <c r="J62" s="75">
        <f t="shared" si="22"/>
        <v>322</v>
      </c>
      <c r="K62" s="75">
        <f t="shared" si="22"/>
        <v>176</v>
      </c>
      <c r="L62" s="78">
        <f t="shared" si="19"/>
        <v>0.1372854914196568</v>
      </c>
      <c r="M62" s="78">
        <f t="shared" si="20"/>
        <v>0.546583850931677</v>
      </c>
      <c r="N62" s="75">
        <f>ROUND(G62/1000,0)</f>
        <v>72</v>
      </c>
      <c r="O62" s="140" t="str">
        <f t="shared" si="0"/>
        <v>     Izdevumi kapitālieguldījumiem</v>
      </c>
      <c r="P62" s="140">
        <f t="shared" si="1"/>
        <v>176</v>
      </c>
      <c r="Q62" s="140">
        <f>'[5]februāris'!K62</f>
        <v>104</v>
      </c>
      <c r="R62" s="44">
        <f t="shared" si="4"/>
        <v>72</v>
      </c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18" ht="12.75">
      <c r="A63" s="80" t="s">
        <v>293</v>
      </c>
      <c r="B63" s="206">
        <f>SUM(B64:B65)</f>
        <v>1165852</v>
      </c>
      <c r="C63" s="206">
        <f>SUM(C64:C65)</f>
        <v>260900</v>
      </c>
      <c r="D63" s="206">
        <f>SUM(D64:D65)</f>
        <v>233913.21</v>
      </c>
      <c r="E63" s="200">
        <f t="shared" si="2"/>
        <v>0.2006371391909093</v>
      </c>
      <c r="F63" s="200">
        <f t="shared" si="3"/>
        <v>0.8965627060176312</v>
      </c>
      <c r="G63" s="206">
        <f>SUM(G64:G65)</f>
        <v>79478.45999999999</v>
      </c>
      <c r="H63" s="65" t="s">
        <v>293</v>
      </c>
      <c r="I63" s="52">
        <f>SUM(I64:I65)</f>
        <v>1167</v>
      </c>
      <c r="J63" s="52">
        <f>SUM(J64:J65)</f>
        <v>261</v>
      </c>
      <c r="K63" s="52">
        <f>SUM(K64:K65)</f>
        <v>234</v>
      </c>
      <c r="L63" s="54">
        <f t="shared" si="19"/>
        <v>0.20051413881748073</v>
      </c>
      <c r="M63" s="54">
        <f t="shared" si="20"/>
        <v>0.896551724137931</v>
      </c>
      <c r="N63" s="52">
        <f>SUM(N64:N65)</f>
        <v>79</v>
      </c>
      <c r="O63" s="140" t="str">
        <f t="shared" si="0"/>
        <v>Valsts kontrole</v>
      </c>
      <c r="P63" s="140">
        <f t="shared" si="1"/>
        <v>234</v>
      </c>
      <c r="Q63" s="140">
        <f>'[5]februāris'!K63</f>
        <v>154</v>
      </c>
      <c r="R63" s="44">
        <f t="shared" si="4"/>
        <v>80</v>
      </c>
    </row>
    <row r="64" spans="1:31" s="39" customFormat="1" ht="12.75">
      <c r="A64" s="202" t="s">
        <v>118</v>
      </c>
      <c r="B64" s="207">
        <v>1150312</v>
      </c>
      <c r="C64" s="207">
        <v>254700</v>
      </c>
      <c r="D64" s="207">
        <f>233913.21-1991.84</f>
        <v>231921.37</v>
      </c>
      <c r="E64" s="204">
        <f t="shared" si="2"/>
        <v>0.20161605720882683</v>
      </c>
      <c r="F64" s="204">
        <f t="shared" si="3"/>
        <v>0.9105668237141735</v>
      </c>
      <c r="G64" s="207">
        <f>D64-'[5]februāris'!D64</f>
        <v>79478.45999999999</v>
      </c>
      <c r="H64" s="74" t="s">
        <v>118</v>
      </c>
      <c r="I64" s="75">
        <f>ROUND(B64/1000,0)+1</f>
        <v>1151</v>
      </c>
      <c r="J64" s="75">
        <f>ROUND(C64/1000,0)</f>
        <v>255</v>
      </c>
      <c r="K64" s="75">
        <f aca="true" t="shared" si="23" ref="I64:K65">ROUND(D64/1000,0)</f>
        <v>232</v>
      </c>
      <c r="L64" s="78">
        <f t="shared" si="19"/>
        <v>0.20156385751520417</v>
      </c>
      <c r="M64" s="78">
        <f t="shared" si="20"/>
        <v>0.9098039215686274</v>
      </c>
      <c r="N64" s="75">
        <f>ROUND(G64/1000,0)</f>
        <v>79</v>
      </c>
      <c r="O64" s="140" t="str">
        <f t="shared" si="0"/>
        <v>     Uzturēšanas izdevumi</v>
      </c>
      <c r="P64" s="140">
        <f t="shared" si="1"/>
        <v>232</v>
      </c>
      <c r="Q64" s="140">
        <f>'[5]februāris'!K64</f>
        <v>152</v>
      </c>
      <c r="R64" s="44">
        <f t="shared" si="4"/>
        <v>80</v>
      </c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39" customFormat="1" ht="25.5">
      <c r="A65" s="202" t="s">
        <v>119</v>
      </c>
      <c r="B65" s="207">
        <v>15540</v>
      </c>
      <c r="C65" s="207">
        <v>6200</v>
      </c>
      <c r="D65" s="207">
        <v>1991.84</v>
      </c>
      <c r="E65" s="204">
        <f t="shared" si="2"/>
        <v>0.12817503217503218</v>
      </c>
      <c r="F65" s="204">
        <f t="shared" si="3"/>
        <v>0.32126451612903223</v>
      </c>
      <c r="G65" s="207">
        <f>D65-'[5]februāris'!D65</f>
        <v>0</v>
      </c>
      <c r="H65" s="74" t="s">
        <v>119</v>
      </c>
      <c r="I65" s="75">
        <f t="shared" si="23"/>
        <v>16</v>
      </c>
      <c r="J65" s="75">
        <f t="shared" si="23"/>
        <v>6</v>
      </c>
      <c r="K65" s="75">
        <f t="shared" si="23"/>
        <v>2</v>
      </c>
      <c r="L65" s="78">
        <f t="shared" si="19"/>
        <v>0.125</v>
      </c>
      <c r="M65" s="78">
        <f t="shared" si="20"/>
        <v>0.3333333333333333</v>
      </c>
      <c r="N65" s="75">
        <f>ROUND(G65/1000,0)</f>
        <v>0</v>
      </c>
      <c r="O65" s="140" t="str">
        <f t="shared" si="0"/>
        <v>     Izdevumi kapitālieguldījumiem</v>
      </c>
      <c r="P65" s="140">
        <f t="shared" si="1"/>
        <v>2</v>
      </c>
      <c r="Q65" s="140">
        <f>'[5]februāris'!K65</f>
        <v>2</v>
      </c>
      <c r="R65" s="44">
        <f t="shared" si="4"/>
        <v>0</v>
      </c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18" ht="12.75">
      <c r="A66" s="80" t="s">
        <v>294</v>
      </c>
      <c r="B66" s="206">
        <f>B67</f>
        <v>743059</v>
      </c>
      <c r="C66" s="206">
        <f>SUM(C67:C67)</f>
        <v>165700</v>
      </c>
      <c r="D66" s="206">
        <f>SUM(D67:D67)</f>
        <v>165684.88</v>
      </c>
      <c r="E66" s="200">
        <f t="shared" si="2"/>
        <v>0.22297674881806157</v>
      </c>
      <c r="F66" s="200">
        <f t="shared" si="3"/>
        <v>0.9999087507543754</v>
      </c>
      <c r="G66" s="206">
        <f>D66-'[5]Janvāris'!D66</f>
        <v>113107.65000000001</v>
      </c>
      <c r="H66" s="65" t="s">
        <v>294</v>
      </c>
      <c r="I66" s="52">
        <f>I67</f>
        <v>743</v>
      </c>
      <c r="J66" s="52">
        <f>SUM(J67:J67)</f>
        <v>166</v>
      </c>
      <c r="K66" s="52">
        <f>SUM(K67:K67)</f>
        <v>166</v>
      </c>
      <c r="L66" s="54">
        <f t="shared" si="19"/>
        <v>0.2234185733512786</v>
      </c>
      <c r="M66" s="54">
        <f t="shared" si="20"/>
        <v>1</v>
      </c>
      <c r="N66" s="52">
        <f>SUM(N67:N67)</f>
        <v>58</v>
      </c>
      <c r="O66" s="140" t="str">
        <f t="shared" si="0"/>
        <v>Augstākā tiesa</v>
      </c>
      <c r="P66" s="140">
        <f t="shared" si="1"/>
        <v>166</v>
      </c>
      <c r="Q66" s="140">
        <f>'[5]februāris'!K66</f>
        <v>108</v>
      </c>
      <c r="R66" s="44">
        <f t="shared" si="4"/>
        <v>58</v>
      </c>
    </row>
    <row r="67" spans="1:31" s="39" customFormat="1" ht="12.75">
      <c r="A67" s="202" t="s">
        <v>118</v>
      </c>
      <c r="B67" s="207">
        <v>743059</v>
      </c>
      <c r="C67" s="207">
        <v>165700</v>
      </c>
      <c r="D67" s="207">
        <v>165684.88</v>
      </c>
      <c r="E67" s="204">
        <f t="shared" si="2"/>
        <v>0.22297674881806157</v>
      </c>
      <c r="F67" s="204">
        <f t="shared" si="3"/>
        <v>0.9999087507543754</v>
      </c>
      <c r="G67" s="207">
        <f>D67-'[5]februāris'!D67</f>
        <v>57996.82000000001</v>
      </c>
      <c r="H67" s="74" t="s">
        <v>118</v>
      </c>
      <c r="I67" s="75">
        <f>ROUND(B67/1000,0)</f>
        <v>743</v>
      </c>
      <c r="J67" s="75">
        <f>ROUND(C67/1000,0)</f>
        <v>166</v>
      </c>
      <c r="K67" s="75">
        <f>ROUND(D67/1000,0)</f>
        <v>166</v>
      </c>
      <c r="L67" s="78">
        <f t="shared" si="19"/>
        <v>0.2234185733512786</v>
      </c>
      <c r="M67" s="78">
        <f t="shared" si="20"/>
        <v>1</v>
      </c>
      <c r="N67" s="75">
        <f>ROUND(G67/1000,0)</f>
        <v>58</v>
      </c>
      <c r="O67" s="140" t="str">
        <f t="shared" si="0"/>
        <v>     Uzturēšanas izdevumi</v>
      </c>
      <c r="P67" s="140">
        <f t="shared" si="1"/>
        <v>166</v>
      </c>
      <c r="Q67" s="140">
        <f>'[5]februāris'!K67</f>
        <v>108</v>
      </c>
      <c r="R67" s="44">
        <f t="shared" si="4"/>
        <v>58</v>
      </c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18" ht="12.75">
      <c r="A68" s="80" t="s">
        <v>295</v>
      </c>
      <c r="B68" s="206">
        <f>SUM(B69:B70)</f>
        <v>337498</v>
      </c>
      <c r="C68" s="206">
        <f>SUM(C69:C70)</f>
        <v>71900</v>
      </c>
      <c r="D68" s="206">
        <f>SUM(D69:D70)</f>
        <v>70612.39</v>
      </c>
      <c r="E68" s="200">
        <f t="shared" si="2"/>
        <v>0.20922313613710303</v>
      </c>
      <c r="F68" s="200">
        <f t="shared" si="3"/>
        <v>0.9820916550764951</v>
      </c>
      <c r="G68" s="206">
        <f>D68-'[5]februāris'!D68</f>
        <v>30311.259999999995</v>
      </c>
      <c r="H68" s="65" t="s">
        <v>295</v>
      </c>
      <c r="I68" s="52">
        <f>SUM(I69:I70)</f>
        <v>338</v>
      </c>
      <c r="J68" s="52">
        <f>SUM(J69:J70)</f>
        <v>72</v>
      </c>
      <c r="K68" s="52">
        <f>SUM(K69:K70)</f>
        <v>71</v>
      </c>
      <c r="L68" s="54">
        <f t="shared" si="19"/>
        <v>0.21005917159763313</v>
      </c>
      <c r="M68" s="54">
        <f t="shared" si="20"/>
        <v>0.9861111111111112</v>
      </c>
      <c r="N68" s="52">
        <f>SUM(N69:N70)</f>
        <v>31</v>
      </c>
      <c r="O68" s="140" t="str">
        <f t="shared" si="0"/>
        <v>Satversmes tiesa</v>
      </c>
      <c r="P68" s="140">
        <f t="shared" si="1"/>
        <v>71</v>
      </c>
      <c r="Q68" s="140">
        <f>'[5]februāris'!K68</f>
        <v>40</v>
      </c>
      <c r="R68" s="44">
        <f t="shared" si="4"/>
        <v>31</v>
      </c>
    </row>
    <row r="69" spans="1:31" s="39" customFormat="1" ht="12.75">
      <c r="A69" s="202" t="s">
        <v>118</v>
      </c>
      <c r="B69" s="207">
        <v>311998</v>
      </c>
      <c r="C69" s="207">
        <v>70900</v>
      </c>
      <c r="D69" s="207">
        <f>70612.39-999.76</f>
        <v>69612.63</v>
      </c>
      <c r="E69" s="204">
        <f t="shared" si="2"/>
        <v>0.22311883409509037</v>
      </c>
      <c r="F69" s="204">
        <f t="shared" si="3"/>
        <v>0.9818424541607899</v>
      </c>
      <c r="G69" s="207">
        <f>D69-'[5]februāris'!D69</f>
        <v>30203.22</v>
      </c>
      <c r="H69" s="74" t="s">
        <v>118</v>
      </c>
      <c r="I69" s="75">
        <f aca="true" t="shared" si="24" ref="I69:K70">ROUND(B69/1000,0)</f>
        <v>312</v>
      </c>
      <c r="J69" s="75">
        <f t="shared" si="24"/>
        <v>71</v>
      </c>
      <c r="K69" s="75">
        <f t="shared" si="24"/>
        <v>70</v>
      </c>
      <c r="L69" s="78">
        <f t="shared" si="19"/>
        <v>0.22435897435897437</v>
      </c>
      <c r="M69" s="78">
        <f t="shared" si="20"/>
        <v>0.9859154929577465</v>
      </c>
      <c r="N69" s="75">
        <f>ROUND(G69/1000,0)+1</f>
        <v>31</v>
      </c>
      <c r="O69" s="140" t="str">
        <f t="shared" si="0"/>
        <v>     Uzturēšanas izdevumi</v>
      </c>
      <c r="P69" s="140">
        <f t="shared" si="1"/>
        <v>70</v>
      </c>
      <c r="Q69" s="140">
        <f>'[5]februāris'!K69</f>
        <v>39</v>
      </c>
      <c r="R69" s="44">
        <f t="shared" si="4"/>
        <v>31</v>
      </c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39" customFormat="1" ht="25.5">
      <c r="A70" s="202" t="s">
        <v>119</v>
      </c>
      <c r="B70" s="207">
        <v>25500</v>
      </c>
      <c r="C70" s="207">
        <v>1000</v>
      </c>
      <c r="D70" s="213">
        <v>999.76</v>
      </c>
      <c r="E70" s="204">
        <f t="shared" si="2"/>
        <v>0.03920627450980392</v>
      </c>
      <c r="F70" s="204">
        <f t="shared" si="3"/>
        <v>0.99976</v>
      </c>
      <c r="G70" s="207">
        <f>D70-'[5]februāris'!D70</f>
        <v>108.03999999999996</v>
      </c>
      <c r="H70" s="74" t="s">
        <v>119</v>
      </c>
      <c r="I70" s="75">
        <f t="shared" si="24"/>
        <v>26</v>
      </c>
      <c r="J70" s="75">
        <f>ROUND(C70/1000,0)</f>
        <v>1</v>
      </c>
      <c r="K70" s="75">
        <f t="shared" si="24"/>
        <v>1</v>
      </c>
      <c r="L70" s="78">
        <f t="shared" si="19"/>
        <v>0.038461538461538464</v>
      </c>
      <c r="M70" s="78">
        <f t="shared" si="20"/>
        <v>1</v>
      </c>
      <c r="N70" s="75">
        <f>ROUND(G70/1000,0)</f>
        <v>0</v>
      </c>
      <c r="O70" s="140" t="str">
        <f t="shared" si="0"/>
        <v>     Izdevumi kapitālieguldījumiem</v>
      </c>
      <c r="P70" s="140">
        <f t="shared" si="1"/>
        <v>1</v>
      </c>
      <c r="Q70" s="140">
        <f>'[5]februāris'!K70</f>
        <v>1</v>
      </c>
      <c r="R70" s="44">
        <f t="shared" si="4"/>
        <v>0</v>
      </c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18" ht="12.75">
      <c r="A71" s="80" t="s">
        <v>296</v>
      </c>
      <c r="B71" s="206">
        <f>SUM(B72:B73)</f>
        <v>6261805</v>
      </c>
      <c r="C71" s="206">
        <f>SUM(C72:C73)</f>
        <v>1499583</v>
      </c>
      <c r="D71" s="206">
        <f>SUM(D72:D73)</f>
        <v>1474471.86</v>
      </c>
      <c r="E71" s="200">
        <f t="shared" si="2"/>
        <v>0.23547074046540895</v>
      </c>
      <c r="F71" s="200">
        <f t="shared" si="3"/>
        <v>0.9832545847745674</v>
      </c>
      <c r="G71" s="206">
        <f>SUM(G72:G73)</f>
        <v>500426.32999999996</v>
      </c>
      <c r="H71" s="65" t="s">
        <v>296</v>
      </c>
      <c r="I71" s="52">
        <f>SUM(I72:I73)</f>
        <v>6262</v>
      </c>
      <c r="J71" s="52">
        <f>SUM(J72:J73)</f>
        <v>1500</v>
      </c>
      <c r="K71" s="52">
        <f>SUM(K72:K73)</f>
        <v>1475</v>
      </c>
      <c r="L71" s="54">
        <f t="shared" si="19"/>
        <v>0.23554774832321942</v>
      </c>
      <c r="M71" s="54">
        <f t="shared" si="20"/>
        <v>0.9833333333333333</v>
      </c>
      <c r="N71" s="52">
        <f>SUM(N72:N73)</f>
        <v>501</v>
      </c>
      <c r="O71" s="140" t="str">
        <f t="shared" si="0"/>
        <v>Prokuratūra</v>
      </c>
      <c r="P71" s="140">
        <f t="shared" si="1"/>
        <v>1475</v>
      </c>
      <c r="Q71" s="140">
        <f>'[5]februāris'!K71</f>
        <v>974</v>
      </c>
      <c r="R71" s="44">
        <f t="shared" si="4"/>
        <v>501</v>
      </c>
    </row>
    <row r="72" spans="1:31" s="39" customFormat="1" ht="12.75">
      <c r="A72" s="202" t="s">
        <v>118</v>
      </c>
      <c r="B72" s="207">
        <v>6184745</v>
      </c>
      <c r="C72" s="207">
        <v>1483083</v>
      </c>
      <c r="D72" s="207">
        <f>1474471.86-11631.61</f>
        <v>1462840.25</v>
      </c>
      <c r="E72" s="204">
        <f t="shared" si="2"/>
        <v>0.23652393914381273</v>
      </c>
      <c r="F72" s="204">
        <f t="shared" si="3"/>
        <v>0.9863508987696575</v>
      </c>
      <c r="G72" s="207">
        <f>D72-'[5]februāris'!D72</f>
        <v>495144.32999999996</v>
      </c>
      <c r="H72" s="74" t="s">
        <v>118</v>
      </c>
      <c r="I72" s="75">
        <f aca="true" t="shared" si="25" ref="I72:K73">ROUND(B72/1000,0)</f>
        <v>6185</v>
      </c>
      <c r="J72" s="75">
        <f t="shared" si="25"/>
        <v>1483</v>
      </c>
      <c r="K72" s="75">
        <f t="shared" si="25"/>
        <v>1463</v>
      </c>
      <c r="L72" s="78">
        <f t="shared" si="19"/>
        <v>0.23654001616814874</v>
      </c>
      <c r="M72" s="78">
        <f t="shared" si="20"/>
        <v>0.9865138233310856</v>
      </c>
      <c r="N72" s="75">
        <f>ROUND(G72/1000,0)</f>
        <v>495</v>
      </c>
      <c r="O72" s="140" t="str">
        <f t="shared" si="0"/>
        <v>     Uzturēšanas izdevumi</v>
      </c>
      <c r="P72" s="140">
        <f t="shared" si="1"/>
        <v>1463</v>
      </c>
      <c r="Q72" s="140">
        <f>'[5]februāris'!K72</f>
        <v>968</v>
      </c>
      <c r="R72" s="44">
        <f t="shared" si="4"/>
        <v>495</v>
      </c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39" customFormat="1" ht="25.5">
      <c r="A73" s="202" t="s">
        <v>119</v>
      </c>
      <c r="B73" s="207">
        <v>77060</v>
      </c>
      <c r="C73" s="207">
        <v>16500</v>
      </c>
      <c r="D73" s="207">
        <v>11631.61</v>
      </c>
      <c r="E73" s="204">
        <f t="shared" si="2"/>
        <v>0.15094225279003376</v>
      </c>
      <c r="F73" s="204">
        <f t="shared" si="3"/>
        <v>0.7049460606060607</v>
      </c>
      <c r="G73" s="207">
        <f>D73-'[5]februāris'!D73</f>
        <v>5282.000000000001</v>
      </c>
      <c r="H73" s="74" t="s">
        <v>119</v>
      </c>
      <c r="I73" s="75">
        <f t="shared" si="25"/>
        <v>77</v>
      </c>
      <c r="J73" s="75">
        <f t="shared" si="25"/>
        <v>17</v>
      </c>
      <c r="K73" s="75">
        <f t="shared" si="25"/>
        <v>12</v>
      </c>
      <c r="L73" s="78">
        <f t="shared" si="19"/>
        <v>0.15584415584415584</v>
      </c>
      <c r="M73" s="78">
        <f t="shared" si="20"/>
        <v>0.7058823529411765</v>
      </c>
      <c r="N73" s="75">
        <f>ROUND(G73/1000,0)+1</f>
        <v>6</v>
      </c>
      <c r="O73" s="140" t="str">
        <f aca="true" t="shared" si="26" ref="O73:O96">H73</f>
        <v>     Izdevumi kapitālieguldījumiem</v>
      </c>
      <c r="P73" s="140">
        <f aca="true" t="shared" si="27" ref="P73:P96">K73</f>
        <v>12</v>
      </c>
      <c r="Q73" s="140">
        <f>'[5]februāris'!K73</f>
        <v>6</v>
      </c>
      <c r="R73" s="44">
        <f t="shared" si="4"/>
        <v>6</v>
      </c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18" ht="12.75" customHeight="1">
      <c r="A74" s="132" t="s">
        <v>297</v>
      </c>
      <c r="B74" s="206">
        <f>SUM(B75:B76)</f>
        <v>77359</v>
      </c>
      <c r="C74" s="206">
        <f>SUM(C75:C76)</f>
        <v>17250</v>
      </c>
      <c r="D74" s="206">
        <f>SUM(D75:D76)</f>
        <v>16939.06</v>
      </c>
      <c r="E74" s="200">
        <f t="shared" si="2"/>
        <v>0.21896689460825502</v>
      </c>
      <c r="F74" s="200">
        <f t="shared" si="3"/>
        <v>0.9819744927536233</v>
      </c>
      <c r="G74" s="206">
        <f>SUM(G75:G76)</f>
        <v>6399.9400000000005</v>
      </c>
      <c r="H74" s="214" t="s">
        <v>297</v>
      </c>
      <c r="I74" s="52">
        <f>SUM(I75:I76)</f>
        <v>77</v>
      </c>
      <c r="J74" s="52">
        <f>SUM(J75:J76)</f>
        <v>17</v>
      </c>
      <c r="K74" s="52">
        <f>SUM(K75:K76)</f>
        <v>17</v>
      </c>
      <c r="L74" s="54">
        <f t="shared" si="19"/>
        <v>0.22077922077922077</v>
      </c>
      <c r="M74" s="54">
        <f t="shared" si="20"/>
        <v>1</v>
      </c>
      <c r="N74" s="52">
        <f>SUM(N75:N76)</f>
        <v>6</v>
      </c>
      <c r="O74" s="140" t="str">
        <f t="shared" si="26"/>
        <v>Centrālā vēlēšanu komisija</v>
      </c>
      <c r="P74" s="140">
        <f t="shared" si="27"/>
        <v>17</v>
      </c>
      <c r="Q74" s="140">
        <f>'[5]februāris'!K74</f>
        <v>11</v>
      </c>
      <c r="R74" s="44">
        <f t="shared" si="4"/>
        <v>6</v>
      </c>
    </row>
    <row r="75" spans="1:31" s="39" customFormat="1" ht="12.75">
      <c r="A75" s="202" t="s">
        <v>118</v>
      </c>
      <c r="B75" s="207">
        <v>75359</v>
      </c>
      <c r="C75" s="207">
        <v>17250</v>
      </c>
      <c r="D75" s="207">
        <v>16939.06</v>
      </c>
      <c r="E75" s="204">
        <f aca="true" t="shared" si="28" ref="E75:E96">IF(ISERROR(D75/B75)," ",(D75/B75))</f>
        <v>0.2247781950397431</v>
      </c>
      <c r="F75" s="204">
        <f aca="true" t="shared" si="29" ref="F75:F91">IF(ISERROR(D75/C75)," ",(D75/C75))</f>
        <v>0.9819744927536233</v>
      </c>
      <c r="G75" s="207">
        <f>D75-'[5]februāris'!D75</f>
        <v>6399.9400000000005</v>
      </c>
      <c r="H75" s="74" t="s">
        <v>118</v>
      </c>
      <c r="I75" s="75">
        <f aca="true" t="shared" si="30" ref="I75:K76">ROUND(B75/1000,0)</f>
        <v>75</v>
      </c>
      <c r="J75" s="75">
        <f t="shared" si="30"/>
        <v>17</v>
      </c>
      <c r="K75" s="75">
        <f t="shared" si="30"/>
        <v>17</v>
      </c>
      <c r="L75" s="78">
        <f t="shared" si="19"/>
        <v>0.22666666666666666</v>
      </c>
      <c r="M75" s="78">
        <f t="shared" si="20"/>
        <v>1</v>
      </c>
      <c r="N75" s="75">
        <f>ROUND(G75/1000,0)</f>
        <v>6</v>
      </c>
      <c r="O75" s="140" t="str">
        <f t="shared" si="26"/>
        <v>     Uzturēšanas izdevumi</v>
      </c>
      <c r="P75" s="140">
        <f t="shared" si="27"/>
        <v>17</v>
      </c>
      <c r="Q75" s="140">
        <f>'[5]februāris'!K75</f>
        <v>11</v>
      </c>
      <c r="R75" s="44">
        <f aca="true" t="shared" si="31" ref="R75:R96">P75-Q75</f>
        <v>6</v>
      </c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39" customFormat="1" ht="25.5">
      <c r="A76" s="202" t="s">
        <v>119</v>
      </c>
      <c r="B76" s="207">
        <v>2000</v>
      </c>
      <c r="C76" s="207">
        <v>0</v>
      </c>
      <c r="D76" s="207">
        <v>0</v>
      </c>
      <c r="E76" s="204">
        <f t="shared" si="28"/>
        <v>0</v>
      </c>
      <c r="F76" s="204" t="str">
        <f t="shared" si="29"/>
        <v> </v>
      </c>
      <c r="G76" s="207">
        <f>D76-'[5]februāris'!D76</f>
        <v>0</v>
      </c>
      <c r="H76" s="74" t="s">
        <v>119</v>
      </c>
      <c r="I76" s="75">
        <f t="shared" si="30"/>
        <v>2</v>
      </c>
      <c r="J76" s="75">
        <f t="shared" si="30"/>
        <v>0</v>
      </c>
      <c r="K76" s="75">
        <f t="shared" si="30"/>
        <v>0</v>
      </c>
      <c r="L76" s="78">
        <f t="shared" si="19"/>
        <v>0</v>
      </c>
      <c r="M76" s="78" t="str">
        <f t="shared" si="20"/>
        <v> </v>
      </c>
      <c r="N76" s="75">
        <f>ROUND(G76/1000,0)</f>
        <v>0</v>
      </c>
      <c r="O76" s="140" t="str">
        <f t="shared" si="26"/>
        <v>     Izdevumi kapitālieguldījumiem</v>
      </c>
      <c r="P76" s="140">
        <f t="shared" si="27"/>
        <v>0</v>
      </c>
      <c r="Q76" s="140">
        <f>'[5]februāris'!K76</f>
        <v>0</v>
      </c>
      <c r="R76" s="44">
        <f t="shared" si="31"/>
        <v>0</v>
      </c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18" ht="12.75">
      <c r="A77" s="129" t="s">
        <v>298</v>
      </c>
      <c r="B77" s="206">
        <f>SUM(B78)</f>
        <v>52299</v>
      </c>
      <c r="C77" s="206">
        <f>SUM(C78)</f>
        <v>11670</v>
      </c>
      <c r="D77" s="206">
        <f>SUM(D78)</f>
        <v>10670.51</v>
      </c>
      <c r="E77" s="200">
        <f t="shared" si="28"/>
        <v>0.2040289489282778</v>
      </c>
      <c r="F77" s="200">
        <f t="shared" si="29"/>
        <v>0.9143538988860326</v>
      </c>
      <c r="G77" s="206">
        <f>D77-'[5]Janvāris'!D77</f>
        <v>7518.360000000001</v>
      </c>
      <c r="H77" s="126" t="s">
        <v>298</v>
      </c>
      <c r="I77" s="52">
        <f>SUM(I78)</f>
        <v>52</v>
      </c>
      <c r="J77" s="52">
        <f>SUM(J78)</f>
        <v>12</v>
      </c>
      <c r="K77" s="52">
        <f>SUM(K78)</f>
        <v>11</v>
      </c>
      <c r="L77" s="54">
        <f t="shared" si="19"/>
        <v>0.21153846153846154</v>
      </c>
      <c r="M77" s="54">
        <f t="shared" si="20"/>
        <v>0.9166666666666666</v>
      </c>
      <c r="N77" s="52">
        <f>SUM(N78)</f>
        <v>5</v>
      </c>
      <c r="O77" s="140" t="str">
        <f t="shared" si="26"/>
        <v>Centrālā zemes komisija</v>
      </c>
      <c r="P77" s="140">
        <f t="shared" si="27"/>
        <v>11</v>
      </c>
      <c r="Q77" s="140">
        <f>'[5]februāris'!K77</f>
        <v>6</v>
      </c>
      <c r="R77" s="44">
        <f t="shared" si="31"/>
        <v>5</v>
      </c>
    </row>
    <row r="78" spans="1:31" s="39" customFormat="1" ht="12.75">
      <c r="A78" s="202" t="s">
        <v>118</v>
      </c>
      <c r="B78" s="207">
        <v>52299</v>
      </c>
      <c r="C78" s="207">
        <v>11670</v>
      </c>
      <c r="D78" s="207">
        <v>10670.51</v>
      </c>
      <c r="E78" s="204">
        <f t="shared" si="28"/>
        <v>0.2040289489282778</v>
      </c>
      <c r="F78" s="204">
        <f t="shared" si="29"/>
        <v>0.9143538988860326</v>
      </c>
      <c r="G78" s="207">
        <f>D78-'[5]februāris'!D78</f>
        <v>4547.06</v>
      </c>
      <c r="H78" s="74" t="s">
        <v>118</v>
      </c>
      <c r="I78" s="75">
        <f>ROUND(B78/1000,0)</f>
        <v>52</v>
      </c>
      <c r="J78" s="75">
        <f>ROUND(C78/1000,0)</f>
        <v>12</v>
      </c>
      <c r="K78" s="75">
        <f>ROUND(D78/1000,0)</f>
        <v>11</v>
      </c>
      <c r="L78" s="78">
        <f t="shared" si="19"/>
        <v>0.21153846153846154</v>
      </c>
      <c r="M78" s="78">
        <f t="shared" si="20"/>
        <v>0.9166666666666666</v>
      </c>
      <c r="N78" s="75">
        <f>ROUND(G78/1000,0)</f>
        <v>5</v>
      </c>
      <c r="O78" s="140" t="str">
        <f t="shared" si="26"/>
        <v>     Uzturēšanas izdevumi</v>
      </c>
      <c r="P78" s="140">
        <f t="shared" si="27"/>
        <v>11</v>
      </c>
      <c r="Q78" s="140">
        <f>'[5]februāris'!K78</f>
        <v>6</v>
      </c>
      <c r="R78" s="44">
        <f t="shared" si="31"/>
        <v>5</v>
      </c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18" ht="25.5">
      <c r="A79" s="129" t="s">
        <v>299</v>
      </c>
      <c r="B79" s="206">
        <f>SUM(B80)</f>
        <v>784088</v>
      </c>
      <c r="C79" s="206">
        <f>SUM(C80)</f>
        <v>174908</v>
      </c>
      <c r="D79" s="206">
        <f>SUM(D80)</f>
        <v>174908</v>
      </c>
      <c r="E79" s="200">
        <f t="shared" si="28"/>
        <v>0.22307190009284672</v>
      </c>
      <c r="F79" s="200">
        <f t="shared" si="29"/>
        <v>1</v>
      </c>
      <c r="G79" s="206">
        <f>D79-'[5]februāris'!D79</f>
        <v>60840</v>
      </c>
      <c r="H79" s="126" t="s">
        <v>299</v>
      </c>
      <c r="I79" s="52">
        <f>SUM(I80)</f>
        <v>784</v>
      </c>
      <c r="J79" s="52">
        <f>SUM(J80)</f>
        <v>175</v>
      </c>
      <c r="K79" s="52">
        <f>SUM(K80)</f>
        <v>175</v>
      </c>
      <c r="L79" s="54">
        <f t="shared" si="19"/>
        <v>0.22321428571428573</v>
      </c>
      <c r="M79" s="54">
        <f t="shared" si="20"/>
        <v>1</v>
      </c>
      <c r="N79" s="52">
        <f>SUM(N80)</f>
        <v>61</v>
      </c>
      <c r="O79" s="140" t="str">
        <f t="shared" si="26"/>
        <v>Satversmes aizsardzības birojs</v>
      </c>
      <c r="P79" s="140">
        <f t="shared" si="27"/>
        <v>175</v>
      </c>
      <c r="Q79" s="140">
        <f>'[5]februāris'!K79</f>
        <v>114</v>
      </c>
      <c r="R79" s="44">
        <f t="shared" si="31"/>
        <v>61</v>
      </c>
    </row>
    <row r="80" spans="1:31" s="39" customFormat="1" ht="12.75">
      <c r="A80" s="202" t="s">
        <v>118</v>
      </c>
      <c r="B80" s="207">
        <v>784088</v>
      </c>
      <c r="C80" s="207">
        <v>174908</v>
      </c>
      <c r="D80" s="207">
        <v>174908</v>
      </c>
      <c r="E80" s="204">
        <f t="shared" si="28"/>
        <v>0.22307190009284672</v>
      </c>
      <c r="F80" s="204">
        <f t="shared" si="29"/>
        <v>1</v>
      </c>
      <c r="G80" s="207">
        <f>D80-'[5]februāris'!D80</f>
        <v>60840</v>
      </c>
      <c r="H80" s="74" t="s">
        <v>118</v>
      </c>
      <c r="I80" s="75">
        <f>ROUND(B80/1000,0)</f>
        <v>784</v>
      </c>
      <c r="J80" s="75">
        <f>ROUND(C80/1000,0)</f>
        <v>175</v>
      </c>
      <c r="K80" s="75">
        <f>ROUND(D80/1000,0)</f>
        <v>175</v>
      </c>
      <c r="L80" s="78">
        <f t="shared" si="19"/>
        <v>0.22321428571428573</v>
      </c>
      <c r="M80" s="78">
        <f t="shared" si="20"/>
        <v>1</v>
      </c>
      <c r="N80" s="75">
        <f>ROUND(G80/1000,0)</f>
        <v>61</v>
      </c>
      <c r="O80" s="140" t="str">
        <f t="shared" si="26"/>
        <v>     Uzturēšanas izdevumi</v>
      </c>
      <c r="P80" s="140">
        <f t="shared" si="27"/>
        <v>175</v>
      </c>
      <c r="Q80" s="140">
        <f>'[5]februāris'!K80</f>
        <v>114</v>
      </c>
      <c r="R80" s="44">
        <f t="shared" si="31"/>
        <v>61</v>
      </c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18" ht="12.75">
      <c r="A81" s="80" t="s">
        <v>300</v>
      </c>
      <c r="B81" s="206">
        <f>SUM(B82:B83)</f>
        <v>6784329</v>
      </c>
      <c r="C81" s="206">
        <f>SUM(C82:C83)</f>
        <v>1664222</v>
      </c>
      <c r="D81" s="206">
        <f>SUM(D82:D83)</f>
        <v>1643757.15</v>
      </c>
      <c r="E81" s="200">
        <f t="shared" si="28"/>
        <v>0.24228735811603475</v>
      </c>
      <c r="F81" s="200">
        <f t="shared" si="29"/>
        <v>0.9877030528379026</v>
      </c>
      <c r="G81" s="206">
        <f>D81-'[5]februāris'!D81</f>
        <v>565484.8499999999</v>
      </c>
      <c r="H81" s="65" t="s">
        <v>300</v>
      </c>
      <c r="I81" s="52">
        <f>SUM(I82:I83)</f>
        <v>6783</v>
      </c>
      <c r="J81" s="52">
        <f>SUM(J82:J83)</f>
        <v>1664</v>
      </c>
      <c r="K81" s="52">
        <f>SUM(K82:K83)</f>
        <v>1644</v>
      </c>
      <c r="L81" s="54">
        <f t="shared" si="19"/>
        <v>0.24237063246351173</v>
      </c>
      <c r="M81" s="54">
        <f t="shared" si="20"/>
        <v>0.9879807692307693</v>
      </c>
      <c r="N81" s="52">
        <f>SUM(N82:N83)</f>
        <v>565</v>
      </c>
      <c r="O81" s="140" t="str">
        <f t="shared" si="26"/>
        <v>Radio un televīzija</v>
      </c>
      <c r="P81" s="140">
        <f t="shared" si="27"/>
        <v>1644</v>
      </c>
      <c r="Q81" s="140">
        <f>'[5]februāris'!K81</f>
        <v>1078</v>
      </c>
      <c r="R81" s="44">
        <f t="shared" si="31"/>
        <v>566</v>
      </c>
    </row>
    <row r="82" spans="1:31" s="39" customFormat="1" ht="12.75">
      <c r="A82" s="202" t="s">
        <v>118</v>
      </c>
      <c r="B82" s="207">
        <v>6576329</v>
      </c>
      <c r="C82" s="207">
        <v>1643622</v>
      </c>
      <c r="D82" s="207">
        <f>1643757.15-20590</f>
        <v>1623167.15</v>
      </c>
      <c r="E82" s="204">
        <f t="shared" si="28"/>
        <v>0.2468196390417815</v>
      </c>
      <c r="F82" s="204">
        <f t="shared" si="29"/>
        <v>0.9875550156909556</v>
      </c>
      <c r="G82" s="207">
        <f>D82-'[5]februāris'!D82</f>
        <v>545484.8499999999</v>
      </c>
      <c r="H82" s="74" t="s">
        <v>118</v>
      </c>
      <c r="I82" s="75">
        <f aca="true" t="shared" si="32" ref="I82:K83">ROUND(B82/1000,0)</f>
        <v>6576</v>
      </c>
      <c r="J82" s="75">
        <f>ROUND(C82/1000,0)-1</f>
        <v>1643</v>
      </c>
      <c r="K82" s="75">
        <f t="shared" si="32"/>
        <v>1623</v>
      </c>
      <c r="L82" s="78">
        <f t="shared" si="19"/>
        <v>0.2468065693430657</v>
      </c>
      <c r="M82" s="78">
        <f t="shared" si="20"/>
        <v>0.9878271454656117</v>
      </c>
      <c r="N82" s="75">
        <f>ROUND(G82/1000,0)</f>
        <v>545</v>
      </c>
      <c r="O82" s="140" t="str">
        <f t="shared" si="26"/>
        <v>     Uzturēšanas izdevumi</v>
      </c>
      <c r="P82" s="140">
        <f t="shared" si="27"/>
        <v>1623</v>
      </c>
      <c r="Q82" s="140">
        <f>'[5]februāris'!K82</f>
        <v>1078</v>
      </c>
      <c r="R82" s="44">
        <f t="shared" si="31"/>
        <v>545</v>
      </c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39" customFormat="1" ht="25.5">
      <c r="A83" s="202" t="s">
        <v>119</v>
      </c>
      <c r="B83" s="207">
        <v>208000</v>
      </c>
      <c r="C83" s="207">
        <v>20600</v>
      </c>
      <c r="D83" s="207">
        <f>590+20000</f>
        <v>20590</v>
      </c>
      <c r="E83" s="204">
        <f t="shared" si="28"/>
        <v>0.09899038461538462</v>
      </c>
      <c r="F83" s="204">
        <f t="shared" si="29"/>
        <v>0.9995145631067961</v>
      </c>
      <c r="G83" s="207">
        <f>D83-'[5]februāris'!D83</f>
        <v>20000</v>
      </c>
      <c r="H83" s="74" t="s">
        <v>119</v>
      </c>
      <c r="I83" s="75">
        <f>ROUND(B83/1000,0)-1</f>
        <v>207</v>
      </c>
      <c r="J83" s="75">
        <f t="shared" si="32"/>
        <v>21</v>
      </c>
      <c r="K83" s="75">
        <f>ROUND(D83/1000,0)</f>
        <v>21</v>
      </c>
      <c r="L83" s="78">
        <f t="shared" si="19"/>
        <v>0.10144927536231885</v>
      </c>
      <c r="M83" s="78">
        <f t="shared" si="20"/>
        <v>1</v>
      </c>
      <c r="N83" s="75">
        <f>ROUND(G83/1000,0)</f>
        <v>20</v>
      </c>
      <c r="O83" s="140" t="str">
        <f t="shared" si="26"/>
        <v>     Izdevumi kapitālieguldījumiem</v>
      </c>
      <c r="P83" s="140">
        <f t="shared" si="27"/>
        <v>21</v>
      </c>
      <c r="Q83" s="140">
        <f>'[5]februāris'!K83</f>
        <v>0</v>
      </c>
      <c r="R83" s="44">
        <f t="shared" si="31"/>
        <v>21</v>
      </c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18" ht="12.75">
      <c r="A84" s="129" t="s">
        <v>301</v>
      </c>
      <c r="B84" s="206">
        <f>SUM(B85)</f>
        <v>96621</v>
      </c>
      <c r="C84" s="206">
        <f>SUM(C85)</f>
        <v>27132</v>
      </c>
      <c r="D84" s="206">
        <f>SUM(D85)</f>
        <v>27132</v>
      </c>
      <c r="E84" s="200">
        <f t="shared" si="28"/>
        <v>0.2808085198869811</v>
      </c>
      <c r="F84" s="200">
        <f t="shared" si="29"/>
        <v>1</v>
      </c>
      <c r="G84" s="206">
        <f>D84-'[5]Janvāris'!D84</f>
        <v>18088</v>
      </c>
      <c r="H84" s="126" t="s">
        <v>301</v>
      </c>
      <c r="I84" s="52">
        <f>SUM(I85)</f>
        <v>97</v>
      </c>
      <c r="J84" s="52">
        <f>SUM(J85)</f>
        <v>27</v>
      </c>
      <c r="K84" s="52">
        <f>SUM(K85)</f>
        <v>27</v>
      </c>
      <c r="L84" s="54">
        <f t="shared" si="19"/>
        <v>0.27835051546391754</v>
      </c>
      <c r="M84" s="54">
        <f t="shared" si="20"/>
        <v>1</v>
      </c>
      <c r="N84" s="52">
        <f>SUM(N85)</f>
        <v>9</v>
      </c>
      <c r="O84" s="140" t="str">
        <f t="shared" si="26"/>
        <v>Valsts cilvēktiesību birojs</v>
      </c>
      <c r="P84" s="140">
        <f t="shared" si="27"/>
        <v>27</v>
      </c>
      <c r="Q84" s="140">
        <f>'[5]februāris'!K84</f>
        <v>18</v>
      </c>
      <c r="R84" s="44">
        <f t="shared" si="31"/>
        <v>9</v>
      </c>
    </row>
    <row r="85" spans="1:31" s="39" customFormat="1" ht="12.75">
      <c r="A85" s="202" t="s">
        <v>118</v>
      </c>
      <c r="B85" s="207">
        <v>96621</v>
      </c>
      <c r="C85" s="207">
        <v>27132</v>
      </c>
      <c r="D85" s="207">
        <v>27132</v>
      </c>
      <c r="E85" s="204">
        <f t="shared" si="28"/>
        <v>0.2808085198869811</v>
      </c>
      <c r="F85" s="204">
        <f t="shared" si="29"/>
        <v>1</v>
      </c>
      <c r="G85" s="207">
        <f>D85-'[5]februāris'!D85</f>
        <v>9044</v>
      </c>
      <c r="H85" s="74" t="s">
        <v>118</v>
      </c>
      <c r="I85" s="75">
        <f>ROUND(B85/1000,0)</f>
        <v>97</v>
      </c>
      <c r="J85" s="75">
        <f>ROUND(C85/1000,0)</f>
        <v>27</v>
      </c>
      <c r="K85" s="75">
        <f>ROUND(D85/1000,0)</f>
        <v>27</v>
      </c>
      <c r="L85" s="78">
        <f t="shared" si="19"/>
        <v>0.27835051546391754</v>
      </c>
      <c r="M85" s="78">
        <f t="shared" si="20"/>
        <v>1</v>
      </c>
      <c r="N85" s="75">
        <f>ROUND(G85/1000,0)</f>
        <v>9</v>
      </c>
      <c r="O85" s="140" t="str">
        <f t="shared" si="26"/>
        <v>     Uzturēšanas izdevumi</v>
      </c>
      <c r="P85" s="140">
        <f t="shared" si="27"/>
        <v>27</v>
      </c>
      <c r="Q85" s="140">
        <f>'[5]februāris'!K85</f>
        <v>18</v>
      </c>
      <c r="R85" s="44">
        <f t="shared" si="31"/>
        <v>9</v>
      </c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18" ht="52.5" customHeight="1">
      <c r="A86" s="180" t="s">
        <v>133</v>
      </c>
      <c r="B86" s="206">
        <f>SUM(B87:B88)</f>
        <v>2265881</v>
      </c>
      <c r="C86" s="206">
        <f>SUM(C87:C88)</f>
        <v>586265</v>
      </c>
      <c r="D86" s="206">
        <f>SUM(D87:D88)</f>
        <v>383323.23</v>
      </c>
      <c r="E86" s="200">
        <f t="shared" si="28"/>
        <v>0.1691718276467299</v>
      </c>
      <c r="F86" s="200">
        <f t="shared" si="29"/>
        <v>0.6538395264939916</v>
      </c>
      <c r="G86" s="206">
        <f>D86-'[5]februāris'!D86</f>
        <v>113697.89999999997</v>
      </c>
      <c r="H86" s="177" t="s">
        <v>133</v>
      </c>
      <c r="I86" s="52">
        <f>SUM(I87:I88)</f>
        <v>2266</v>
      </c>
      <c r="J86" s="52">
        <f>SUM(J87:J88)</f>
        <v>586</v>
      </c>
      <c r="K86" s="52">
        <f>SUM(K87:K88)</f>
        <v>383</v>
      </c>
      <c r="L86" s="54">
        <f t="shared" si="19"/>
        <v>0.16902030008826124</v>
      </c>
      <c r="M86" s="54">
        <f t="shared" si="20"/>
        <v>0.6535836177474402</v>
      </c>
      <c r="N86" s="52">
        <f>SUM(N87:N88)</f>
        <v>113</v>
      </c>
      <c r="O86" s="140" t="str">
        <f t="shared" si="26"/>
        <v>Īpašu uzdevumu ministra sadarbībai  ar starptautiskajām finansu institūcijām sekretariāts</v>
      </c>
      <c r="P86" s="140">
        <f t="shared" si="27"/>
        <v>383</v>
      </c>
      <c r="Q86" s="140">
        <f>'[5]februāris'!K86</f>
        <v>270</v>
      </c>
      <c r="R86" s="44">
        <f t="shared" si="31"/>
        <v>113</v>
      </c>
    </row>
    <row r="87" spans="1:31" s="39" customFormat="1" ht="12.75">
      <c r="A87" s="202" t="s">
        <v>118</v>
      </c>
      <c r="B87" s="207">
        <v>2261881</v>
      </c>
      <c r="C87" s="207">
        <v>583265</v>
      </c>
      <c r="D87" s="207">
        <v>383323.23</v>
      </c>
      <c r="E87" s="210">
        <f>IF(ISERROR(D87/B87)," ",(D87/B87))</f>
        <v>0.16947099781111383</v>
      </c>
      <c r="F87" s="210">
        <f>IF(ISERROR(D87/C87)," ",(D87/C87))</f>
        <v>0.6572025237242076</v>
      </c>
      <c r="G87" s="207">
        <f>D87-'[5]februāris'!D87</f>
        <v>113697.89999999997</v>
      </c>
      <c r="H87" s="74" t="s">
        <v>118</v>
      </c>
      <c r="I87" s="75">
        <f aca="true" t="shared" si="33" ref="I87:K88">ROUND(B87/1000,0)</f>
        <v>2262</v>
      </c>
      <c r="J87" s="75">
        <f t="shared" si="33"/>
        <v>583</v>
      </c>
      <c r="K87" s="75">
        <f t="shared" si="33"/>
        <v>383</v>
      </c>
      <c r="L87" s="78">
        <f t="shared" si="19"/>
        <v>0.16931918656056588</v>
      </c>
      <c r="M87" s="78">
        <f t="shared" si="20"/>
        <v>0.6569468267581475</v>
      </c>
      <c r="N87" s="75">
        <f>ROUND(G87/1000,0)-1</f>
        <v>113</v>
      </c>
      <c r="O87" s="140" t="str">
        <f t="shared" si="26"/>
        <v>     Uzturēšanas izdevumi</v>
      </c>
      <c r="P87" s="140">
        <f t="shared" si="27"/>
        <v>383</v>
      </c>
      <c r="Q87" s="140">
        <f>'[5]februāris'!K87</f>
        <v>270</v>
      </c>
      <c r="R87" s="44">
        <f t="shared" si="31"/>
        <v>113</v>
      </c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s="39" customFormat="1" ht="25.5">
      <c r="A88" s="202" t="s">
        <v>119</v>
      </c>
      <c r="B88" s="207">
        <v>4000</v>
      </c>
      <c r="C88" s="207">
        <v>3000</v>
      </c>
      <c r="D88" s="207">
        <v>0</v>
      </c>
      <c r="E88" s="210">
        <f t="shared" si="28"/>
        <v>0</v>
      </c>
      <c r="F88" s="210">
        <f>IF(ISERROR(D88/C88)," ",(D88/C88))</f>
        <v>0</v>
      </c>
      <c r="G88" s="207">
        <f>D88-'[5]februāris'!D88</f>
        <v>0</v>
      </c>
      <c r="H88" s="74" t="s">
        <v>119</v>
      </c>
      <c r="I88" s="75">
        <f t="shared" si="33"/>
        <v>4</v>
      </c>
      <c r="J88" s="75">
        <f t="shared" si="33"/>
        <v>3</v>
      </c>
      <c r="K88" s="75">
        <f t="shared" si="33"/>
        <v>0</v>
      </c>
      <c r="L88" s="78">
        <f t="shared" si="19"/>
        <v>0</v>
      </c>
      <c r="M88" s="78">
        <f t="shared" si="20"/>
        <v>0</v>
      </c>
      <c r="N88" s="75">
        <f>ROUND(G88/1000,0)</f>
        <v>0</v>
      </c>
      <c r="O88" s="140" t="str">
        <f t="shared" si="26"/>
        <v>     Izdevumi kapitālieguldījumiem</v>
      </c>
      <c r="P88" s="140">
        <f t="shared" si="27"/>
        <v>0</v>
      </c>
      <c r="Q88" s="140">
        <f>'[5]februāris'!K88</f>
        <v>0</v>
      </c>
      <c r="R88" s="44">
        <f t="shared" si="31"/>
        <v>0</v>
      </c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18" ht="52.5" customHeight="1">
      <c r="A89" s="180" t="s">
        <v>302</v>
      </c>
      <c r="B89" s="206">
        <f>SUM(B90:B91)</f>
        <v>2790200</v>
      </c>
      <c r="C89" s="206">
        <f>SUM(C90:C91)</f>
        <v>721698</v>
      </c>
      <c r="D89" s="206">
        <f>SUM(D90:D91)</f>
        <v>192275.84</v>
      </c>
      <c r="E89" s="200">
        <f t="shared" si="28"/>
        <v>0.06891113181850764</v>
      </c>
      <c r="F89" s="200">
        <f t="shared" si="29"/>
        <v>0.2664214671510798</v>
      </c>
      <c r="G89" s="206">
        <f>SUM(G90:G91)</f>
        <v>75946.59999999999</v>
      </c>
      <c r="H89" s="177" t="s">
        <v>134</v>
      </c>
      <c r="I89" s="52">
        <f>SUM(I90:I91)</f>
        <v>2791</v>
      </c>
      <c r="J89" s="52">
        <f>SUM(J90:J91)</f>
        <v>722</v>
      </c>
      <c r="K89" s="52">
        <f>SUM(K90:K91)</f>
        <v>192</v>
      </c>
      <c r="L89" s="54">
        <f t="shared" si="19"/>
        <v>0.06879254747402365</v>
      </c>
      <c r="M89" s="54">
        <f t="shared" si="20"/>
        <v>0.2659279778393352</v>
      </c>
      <c r="N89" s="52">
        <f>SUM(N90:N91)</f>
        <v>76</v>
      </c>
      <c r="O89" s="140" t="str">
        <f t="shared" si="26"/>
        <v>Īpašu uzdevumu ministra valsts pārvaldes  un  pašvaldību  reformas jautājumos  sekretariāts</v>
      </c>
      <c r="P89" s="140">
        <f t="shared" si="27"/>
        <v>192</v>
      </c>
      <c r="Q89" s="140">
        <f>'[5]februāris'!K89</f>
        <v>116</v>
      </c>
      <c r="R89" s="44">
        <f t="shared" si="31"/>
        <v>76</v>
      </c>
    </row>
    <row r="90" spans="1:31" s="39" customFormat="1" ht="12.75">
      <c r="A90" s="202" t="s">
        <v>118</v>
      </c>
      <c r="B90" s="207">
        <v>2764643</v>
      </c>
      <c r="C90" s="207">
        <v>709121</v>
      </c>
      <c r="D90" s="207">
        <f>192275.84-3093.16</f>
        <v>189182.68</v>
      </c>
      <c r="E90" s="210">
        <f t="shared" si="28"/>
        <v>0.06842933427570938</v>
      </c>
      <c r="F90" s="210">
        <f t="shared" si="29"/>
        <v>0.2667847659285228</v>
      </c>
      <c r="G90" s="207">
        <f>D90-'[5]februāris'!D90</f>
        <v>74677.60999999999</v>
      </c>
      <c r="H90" s="74" t="s">
        <v>118</v>
      </c>
      <c r="I90" s="75">
        <f aca="true" t="shared" si="34" ref="I90:K91">ROUND(B90/1000,0)</f>
        <v>2765</v>
      </c>
      <c r="J90" s="75">
        <f t="shared" si="34"/>
        <v>709</v>
      </c>
      <c r="K90" s="75">
        <f>ROUND(D90/1000,0)</f>
        <v>189</v>
      </c>
      <c r="L90" s="78">
        <f t="shared" si="19"/>
        <v>0.06835443037974684</v>
      </c>
      <c r="M90" s="78">
        <f t="shared" si="20"/>
        <v>0.26657263751763044</v>
      </c>
      <c r="N90" s="75">
        <f>ROUND(G90/1000,0)</f>
        <v>75</v>
      </c>
      <c r="O90" s="140" t="str">
        <f t="shared" si="26"/>
        <v>     Uzturēšanas izdevumi</v>
      </c>
      <c r="P90" s="140">
        <f t="shared" si="27"/>
        <v>189</v>
      </c>
      <c r="Q90" s="140">
        <f>'[5]februāris'!K90</f>
        <v>114</v>
      </c>
      <c r="R90" s="44">
        <f t="shared" si="31"/>
        <v>75</v>
      </c>
      <c r="S90"/>
      <c r="T90"/>
      <c r="U90"/>
      <c r="V90"/>
      <c r="W90"/>
      <c r="X90"/>
      <c r="Y90"/>
      <c r="Z90"/>
      <c r="AA90"/>
      <c r="AB90"/>
      <c r="AC90"/>
      <c r="AD90"/>
      <c r="AE90"/>
    </row>
    <row r="91" spans="1:31" s="39" customFormat="1" ht="25.5">
      <c r="A91" s="202" t="s">
        <v>119</v>
      </c>
      <c r="B91" s="207">
        <v>25557</v>
      </c>
      <c r="C91" s="207">
        <v>12577</v>
      </c>
      <c r="D91" s="207">
        <v>3093.16</v>
      </c>
      <c r="E91" s="210">
        <f t="shared" si="28"/>
        <v>0.12102985483429197</v>
      </c>
      <c r="F91" s="210">
        <f t="shared" si="29"/>
        <v>0.2459378230102568</v>
      </c>
      <c r="G91" s="207">
        <f>D91-'[5]februāris'!D91</f>
        <v>1268.9899999999998</v>
      </c>
      <c r="H91" s="74" t="s">
        <v>119</v>
      </c>
      <c r="I91" s="75">
        <f t="shared" si="34"/>
        <v>26</v>
      </c>
      <c r="J91" s="75">
        <f t="shared" si="34"/>
        <v>13</v>
      </c>
      <c r="K91" s="75">
        <f t="shared" si="34"/>
        <v>3</v>
      </c>
      <c r="L91" s="78">
        <f t="shared" si="19"/>
        <v>0.11538461538461539</v>
      </c>
      <c r="M91" s="78">
        <f t="shared" si="20"/>
        <v>0.23076923076923078</v>
      </c>
      <c r="N91" s="75">
        <f>ROUND(G91/1000,0)</f>
        <v>1</v>
      </c>
      <c r="O91" s="140" t="str">
        <f t="shared" si="26"/>
        <v>     Izdevumi kapitālieguldījumiem</v>
      </c>
      <c r="P91" s="140">
        <f t="shared" si="27"/>
        <v>3</v>
      </c>
      <c r="Q91" s="140">
        <f>'[5]februāris'!K91</f>
        <v>2</v>
      </c>
      <c r="R91" s="44">
        <f t="shared" si="31"/>
        <v>1</v>
      </c>
      <c r="S91"/>
      <c r="T91"/>
      <c r="U91"/>
      <c r="V91"/>
      <c r="W91"/>
      <c r="X91"/>
      <c r="Y91"/>
      <c r="Z91"/>
      <c r="AA91"/>
      <c r="AB91"/>
      <c r="AC91"/>
      <c r="AD91"/>
      <c r="AE91"/>
    </row>
    <row r="92" spans="1:18" ht="12.75" customHeight="1">
      <c r="A92" s="129" t="s">
        <v>303</v>
      </c>
      <c r="B92" s="206">
        <f>SUM(B93:B94)</f>
        <v>94493267</v>
      </c>
      <c r="C92" s="206">
        <f>SUM(C93:C94)</f>
        <v>22658706</v>
      </c>
      <c r="D92" s="206">
        <f>SUM(D93:D94)</f>
        <v>22374041.18</v>
      </c>
      <c r="E92" s="200">
        <f t="shared" si="28"/>
        <v>0.23677921073466535</v>
      </c>
      <c r="F92" s="200">
        <f>IF(ISERROR(D92/C92)," ",(D92/C92))</f>
        <v>0.987436845687481</v>
      </c>
      <c r="G92" s="206">
        <f>SUM(G93:G94)</f>
        <v>7959247.2700000005</v>
      </c>
      <c r="H92" s="126" t="s">
        <v>303</v>
      </c>
      <c r="I92" s="52">
        <f>SUM(I93:I94)</f>
        <v>94494</v>
      </c>
      <c r="J92" s="52">
        <f>SUM(J93:J94)</f>
        <v>22659</v>
      </c>
      <c r="K92" s="52">
        <f>SUM(K93:K94)</f>
        <v>22374</v>
      </c>
      <c r="L92" s="54">
        <f t="shared" si="19"/>
        <v>0.23677693821829957</v>
      </c>
      <c r="M92" s="54">
        <f t="shared" si="20"/>
        <v>0.987422216337879</v>
      </c>
      <c r="N92" s="52">
        <f>SUM(N93:N94)</f>
        <v>7959</v>
      </c>
      <c r="O92" s="140" t="str">
        <f t="shared" si="26"/>
        <v>Mērķdotācijas pašvaldībām</v>
      </c>
      <c r="P92" s="140">
        <f t="shared" si="27"/>
        <v>22374</v>
      </c>
      <c r="Q92" s="140">
        <f>'[5]februāris'!K92</f>
        <v>14415</v>
      </c>
      <c r="R92" s="44">
        <f t="shared" si="31"/>
        <v>7959</v>
      </c>
    </row>
    <row r="93" spans="1:31" s="39" customFormat="1" ht="12.75">
      <c r="A93" s="202" t="s">
        <v>118</v>
      </c>
      <c r="B93" s="207">
        <v>83728544</v>
      </c>
      <c r="C93" s="207">
        <v>21834156</v>
      </c>
      <c r="D93" s="207">
        <v>21833978</v>
      </c>
      <c r="E93" s="204">
        <f t="shared" si="28"/>
        <v>0.2607710221259789</v>
      </c>
      <c r="F93" s="204">
        <f>IF(ISERROR(D93/C93)," ",(D93/C93))</f>
        <v>0.9999918476354204</v>
      </c>
      <c r="G93" s="207">
        <f>D93-'[5]februāris'!D93</f>
        <v>7710199</v>
      </c>
      <c r="H93" s="74" t="s">
        <v>118</v>
      </c>
      <c r="I93" s="75">
        <f aca="true" t="shared" si="35" ref="I93:K94">ROUND(B93/1000,0)</f>
        <v>83729</v>
      </c>
      <c r="J93" s="75">
        <f t="shared" si="35"/>
        <v>21834</v>
      </c>
      <c r="K93" s="75">
        <f t="shared" si="35"/>
        <v>21834</v>
      </c>
      <c r="L93" s="78">
        <f t="shared" si="19"/>
        <v>0.26076986468248753</v>
      </c>
      <c r="M93" s="78">
        <f t="shared" si="20"/>
        <v>1</v>
      </c>
      <c r="N93" s="75">
        <f>ROUND(G93/1000,0)</f>
        <v>7710</v>
      </c>
      <c r="O93" s="140" t="str">
        <f t="shared" si="26"/>
        <v>     Uzturēšanas izdevumi</v>
      </c>
      <c r="P93" s="140">
        <f t="shared" si="27"/>
        <v>21834</v>
      </c>
      <c r="Q93" s="140">
        <f>'[5]februāris'!K93</f>
        <v>14124</v>
      </c>
      <c r="R93" s="44">
        <f t="shared" si="31"/>
        <v>7710</v>
      </c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31" s="39" customFormat="1" ht="25.5">
      <c r="A94" s="202" t="s">
        <v>119</v>
      </c>
      <c r="B94" s="207">
        <v>10764723</v>
      </c>
      <c r="C94" s="207">
        <v>824550</v>
      </c>
      <c r="D94" s="207">
        <v>540063.18</v>
      </c>
      <c r="E94" s="204">
        <f t="shared" si="28"/>
        <v>0.05016972382847195</v>
      </c>
      <c r="F94" s="204">
        <f>IF(ISERROR(D94/C94)," ",(D94/C94))</f>
        <v>0.6549792977987994</v>
      </c>
      <c r="G94" s="207">
        <f>D94-'[5]februāris'!D94</f>
        <v>249048.27000000008</v>
      </c>
      <c r="H94" s="74" t="s">
        <v>119</v>
      </c>
      <c r="I94" s="75">
        <f t="shared" si="35"/>
        <v>10765</v>
      </c>
      <c r="J94" s="75">
        <f t="shared" si="35"/>
        <v>825</v>
      </c>
      <c r="K94" s="75">
        <f t="shared" si="35"/>
        <v>540</v>
      </c>
      <c r="L94" s="78">
        <f t="shared" si="19"/>
        <v>0.05016256386437529</v>
      </c>
      <c r="M94" s="78">
        <f t="shared" si="20"/>
        <v>0.6545454545454545</v>
      </c>
      <c r="N94" s="75">
        <f>ROUND(G94/1000,0)</f>
        <v>249</v>
      </c>
      <c r="O94" s="140" t="str">
        <f t="shared" si="26"/>
        <v>     Izdevumi kapitālieguldījumiem</v>
      </c>
      <c r="P94" s="140">
        <f t="shared" si="27"/>
        <v>540</v>
      </c>
      <c r="Q94" s="140">
        <f>'[5]februāris'!K94</f>
        <v>291</v>
      </c>
      <c r="R94" s="44">
        <f t="shared" si="31"/>
        <v>249</v>
      </c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18" ht="12.75" customHeight="1">
      <c r="A95" s="129" t="s">
        <v>304</v>
      </c>
      <c r="B95" s="206">
        <f>SUM(B96)</f>
        <v>7463010</v>
      </c>
      <c r="C95" s="206">
        <f>SUM(C96)</f>
        <v>2001520</v>
      </c>
      <c r="D95" s="206">
        <f>SUM(D96)</f>
        <v>1863820</v>
      </c>
      <c r="E95" s="200">
        <f t="shared" si="28"/>
        <v>0.2497410562226233</v>
      </c>
      <c r="F95" s="200">
        <f>IF(ISERROR(D95/C95)," ",(D95/C95))</f>
        <v>0.9312022862624405</v>
      </c>
      <c r="G95" s="206">
        <f>D95-'[5]Janvāris'!D95</f>
        <v>1242540</v>
      </c>
      <c r="H95" s="126" t="s">
        <v>304</v>
      </c>
      <c r="I95" s="52">
        <f>SUM(I96)</f>
        <v>7463</v>
      </c>
      <c r="J95" s="52">
        <f>SUM(J96)</f>
        <v>2002</v>
      </c>
      <c r="K95" s="52">
        <f>SUM(K96)</f>
        <v>1864</v>
      </c>
      <c r="L95" s="54">
        <f t="shared" si="19"/>
        <v>0.24976550984858636</v>
      </c>
      <c r="M95" s="54">
        <f t="shared" si="20"/>
        <v>0.9310689310689311</v>
      </c>
      <c r="N95" s="52">
        <f>SUM(N96)</f>
        <v>621</v>
      </c>
      <c r="O95" s="140" t="str">
        <f t="shared" si="26"/>
        <v>Dotācija pašvaldībām</v>
      </c>
      <c r="P95" s="140">
        <f t="shared" si="27"/>
        <v>1864</v>
      </c>
      <c r="Q95" s="140">
        <f>'[5]februāris'!K95</f>
        <v>1243</v>
      </c>
      <c r="R95" s="44">
        <f t="shared" si="31"/>
        <v>621</v>
      </c>
    </row>
    <row r="96" spans="1:31" s="39" customFormat="1" ht="12.75">
      <c r="A96" s="215" t="s">
        <v>118</v>
      </c>
      <c r="B96" s="207">
        <v>7463010</v>
      </c>
      <c r="C96" s="207">
        <v>2001520</v>
      </c>
      <c r="D96" s="207">
        <v>1863820</v>
      </c>
      <c r="E96" s="204">
        <f t="shared" si="28"/>
        <v>0.2497410562226233</v>
      </c>
      <c r="F96" s="204">
        <f>IF(ISERROR(D96/C96)," ",(D96/C96))</f>
        <v>0.9312022862624405</v>
      </c>
      <c r="G96" s="207">
        <f>D96-'[5]februāris'!D96</f>
        <v>621270</v>
      </c>
      <c r="H96" s="216" t="s">
        <v>118</v>
      </c>
      <c r="I96" s="75">
        <f>ROUND(B96/1000,0)</f>
        <v>7463</v>
      </c>
      <c r="J96" s="75">
        <f>ROUND(C96/1000,0)</f>
        <v>2002</v>
      </c>
      <c r="K96" s="75">
        <f>ROUND(D96/1000,0)</f>
        <v>1864</v>
      </c>
      <c r="L96" s="78">
        <f t="shared" si="19"/>
        <v>0.24976550984858636</v>
      </c>
      <c r="M96" s="78">
        <f t="shared" si="20"/>
        <v>0.9310689310689311</v>
      </c>
      <c r="N96" s="75">
        <f>ROUND(G96/1000,0)</f>
        <v>621</v>
      </c>
      <c r="O96" s="140" t="str">
        <f t="shared" si="26"/>
        <v>     Uzturēšanas izdevumi</v>
      </c>
      <c r="P96" s="140">
        <f t="shared" si="27"/>
        <v>1864</v>
      </c>
      <c r="Q96" s="140">
        <f>'[5]februāris'!K96</f>
        <v>1243</v>
      </c>
      <c r="R96" s="44">
        <f t="shared" si="31"/>
        <v>621</v>
      </c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13" ht="38.25" customHeight="1">
      <c r="A97" s="217"/>
      <c r="B97" s="209"/>
      <c r="C97" s="209"/>
      <c r="D97" s="209"/>
      <c r="E97" s="218"/>
      <c r="F97" s="218"/>
      <c r="G97" s="44">
        <f>D97-'[5]februāris'!D97</f>
        <v>0</v>
      </c>
      <c r="H97" s="217"/>
      <c r="I97" s="209"/>
      <c r="J97" s="209"/>
      <c r="K97" s="209"/>
      <c r="L97" s="218"/>
      <c r="M97" s="218"/>
    </row>
    <row r="98" spans="1:13" ht="12.75">
      <c r="A98" s="217"/>
      <c r="B98" s="209"/>
      <c r="C98" s="209"/>
      <c r="D98" s="209"/>
      <c r="E98" s="219"/>
      <c r="F98" s="220"/>
      <c r="H98" s="32"/>
      <c r="I98" s="35"/>
      <c r="J98" s="34"/>
      <c r="K98" s="221"/>
      <c r="L98" s="221"/>
      <c r="M98" s="222"/>
    </row>
    <row r="99" spans="1:6" ht="12.75">
      <c r="A99" s="32" t="s">
        <v>140</v>
      </c>
      <c r="B99" s="35"/>
      <c r="C99" s="34"/>
      <c r="D99" s="221"/>
      <c r="E99" s="221"/>
      <c r="F99" s="222"/>
    </row>
    <row r="100" spans="2:13" ht="12.75">
      <c r="B100" s="31"/>
      <c r="C100" s="30"/>
      <c r="D100" s="30"/>
      <c r="E100" s="185"/>
      <c r="F100" s="223"/>
      <c r="H100" s="44" t="s">
        <v>305</v>
      </c>
      <c r="I100" s="31"/>
      <c r="J100" s="30"/>
      <c r="K100" s="30"/>
      <c r="L100" s="185"/>
      <c r="M100" s="221"/>
    </row>
    <row r="101" spans="2:13" ht="12.75">
      <c r="B101" s="31"/>
      <c r="C101" s="30"/>
      <c r="D101" s="30"/>
      <c r="E101" s="185"/>
      <c r="F101" s="223"/>
      <c r="M101" s="221"/>
    </row>
    <row r="103" spans="2:13" ht="12.75">
      <c r="B103" s="31"/>
      <c r="C103" s="30"/>
      <c r="D103" s="30"/>
      <c r="E103" s="185"/>
      <c r="F103" s="223"/>
      <c r="J103" s="30"/>
      <c r="K103" s="30"/>
      <c r="L103" s="185"/>
      <c r="M103" s="221"/>
    </row>
    <row r="104" ht="12.75">
      <c r="H104" s="44" t="s">
        <v>142</v>
      </c>
    </row>
    <row r="105" ht="12.75">
      <c r="H105" s="44" t="s">
        <v>306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</sheetData>
  <mergeCells count="5">
    <mergeCell ref="H7:M7"/>
    <mergeCell ref="A4:F4"/>
    <mergeCell ref="H4:M4"/>
    <mergeCell ref="A5:F5"/>
    <mergeCell ref="H5:M5"/>
  </mergeCells>
  <printOptions/>
  <pageMargins left="0.75" right="0.17" top="0.48" bottom="0.16" header="0.17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7"/>
  <sheetViews>
    <sheetView workbookViewId="0" topLeftCell="H1">
      <selection activeCell="H6" sqref="H6"/>
    </sheetView>
  </sheetViews>
  <sheetFormatPr defaultColWidth="9.140625" defaultRowHeight="12.75"/>
  <cols>
    <col min="1" max="1" width="23.421875" style="44" hidden="1" customWidth="1"/>
    <col min="2" max="2" width="11.7109375" style="44" hidden="1" customWidth="1"/>
    <col min="3" max="3" width="10.8515625" style="44" hidden="1" customWidth="1"/>
    <col min="4" max="4" width="11.57421875" style="44" hidden="1" customWidth="1"/>
    <col min="5" max="5" width="7.28125" style="44" hidden="1" customWidth="1"/>
    <col min="6" max="6" width="8.421875" style="44" hidden="1" customWidth="1"/>
    <col min="7" max="7" width="10.140625" style="44" hidden="1" customWidth="1"/>
    <col min="8" max="8" width="39.00390625" style="44" customWidth="1"/>
    <col min="9" max="9" width="10.7109375" style="44" customWidth="1"/>
    <col min="10" max="10" width="11.7109375" style="44" customWidth="1"/>
    <col min="11" max="11" width="11.8515625" style="44" customWidth="1"/>
    <col min="12" max="12" width="7.8515625" style="44" customWidth="1"/>
    <col min="13" max="13" width="10.28125" style="44" customWidth="1"/>
    <col min="14" max="14" width="9.28125" style="44" customWidth="1"/>
    <col min="15" max="15" width="38.28125" style="44" hidden="1" customWidth="1"/>
    <col min="16" max="16" width="12.8515625" style="44" hidden="1" customWidth="1"/>
    <col min="17" max="17" width="11.8515625" style="44" hidden="1" customWidth="1"/>
    <col min="18" max="18" width="12.28125" style="44" hidden="1" customWidth="1"/>
    <col min="19" max="16384" width="7.8515625" style="44" customWidth="1"/>
  </cols>
  <sheetData>
    <row r="1" spans="7:14" ht="12.75">
      <c r="G1" s="44" t="s">
        <v>307</v>
      </c>
      <c r="H1" s="81"/>
      <c r="I1" s="81"/>
      <c r="J1" s="81"/>
      <c r="K1" s="81"/>
      <c r="L1" s="81"/>
      <c r="M1" s="81"/>
      <c r="N1" s="81" t="s">
        <v>307</v>
      </c>
    </row>
    <row r="2" spans="1:14" ht="16.5" customHeight="1">
      <c r="A2" s="32" t="s">
        <v>308</v>
      </c>
      <c r="B2" s="32"/>
      <c r="C2" s="32"/>
      <c r="D2" s="32"/>
      <c r="E2" s="32"/>
      <c r="F2" s="32"/>
      <c r="H2" s="224" t="s">
        <v>146</v>
      </c>
      <c r="I2" s="224"/>
      <c r="J2" s="224"/>
      <c r="K2" s="224"/>
      <c r="L2" s="224"/>
      <c r="M2" s="224"/>
      <c r="N2" s="81"/>
    </row>
    <row r="3" spans="1:14" ht="4.5" customHeight="1" hidden="1">
      <c r="A3" s="64"/>
      <c r="H3" s="80"/>
      <c r="I3" s="81"/>
      <c r="J3" s="81"/>
      <c r="K3" s="81"/>
      <c r="L3" s="81"/>
      <c r="M3" s="81"/>
      <c r="N3" s="81"/>
    </row>
    <row r="4" spans="1:14" ht="12" customHeight="1">
      <c r="A4" s="64"/>
      <c r="H4" s="80"/>
      <c r="I4" s="81"/>
      <c r="J4" s="81"/>
      <c r="K4" s="81"/>
      <c r="L4" s="81"/>
      <c r="M4" s="81"/>
      <c r="N4" s="81"/>
    </row>
    <row r="5" spans="1:14" ht="15.75">
      <c r="A5" s="138" t="s">
        <v>309</v>
      </c>
      <c r="B5" s="32"/>
      <c r="C5" s="32"/>
      <c r="D5" s="32"/>
      <c r="E5" s="32"/>
      <c r="F5" s="32"/>
      <c r="H5" s="225" t="s">
        <v>310</v>
      </c>
      <c r="I5" s="226"/>
      <c r="J5" s="226"/>
      <c r="K5" s="226"/>
      <c r="L5" s="224"/>
      <c r="M5" s="224"/>
      <c r="N5" s="81"/>
    </row>
    <row r="6" spans="1:14" ht="15.75">
      <c r="A6" s="138" t="s">
        <v>311</v>
      </c>
      <c r="B6" s="32"/>
      <c r="C6" s="32"/>
      <c r="D6" s="32"/>
      <c r="E6" s="32"/>
      <c r="F6" s="32"/>
      <c r="H6" s="225" t="s">
        <v>311</v>
      </c>
      <c r="I6" s="226"/>
      <c r="J6" s="226"/>
      <c r="K6" s="226"/>
      <c r="L6" s="224"/>
      <c r="M6" s="224"/>
      <c r="N6" s="81"/>
    </row>
    <row r="7" spans="1:14" ht="19.5" customHeight="1">
      <c r="A7" s="138" t="s">
        <v>227</v>
      </c>
      <c r="B7" s="32"/>
      <c r="C7" s="32"/>
      <c r="D7" s="32"/>
      <c r="E7" s="32"/>
      <c r="F7" s="32"/>
      <c r="H7" s="225" t="s">
        <v>107</v>
      </c>
      <c r="I7" s="226"/>
      <c r="J7" s="226"/>
      <c r="K7" s="226"/>
      <c r="L7" s="224"/>
      <c r="M7" s="224"/>
      <c r="N7" s="81"/>
    </row>
    <row r="8" spans="1:14" s="87" customFormat="1" ht="23.25" customHeight="1">
      <c r="A8" s="44"/>
      <c r="B8" s="44"/>
      <c r="C8" s="44"/>
      <c r="D8" s="44"/>
      <c r="E8" s="44"/>
      <c r="F8" s="44"/>
      <c r="G8" s="44" t="s">
        <v>149</v>
      </c>
      <c r="H8" s="227"/>
      <c r="I8" s="227"/>
      <c r="J8" s="227"/>
      <c r="K8" s="227"/>
      <c r="L8" s="227"/>
      <c r="M8" s="227"/>
      <c r="N8" s="227" t="s">
        <v>149</v>
      </c>
    </row>
    <row r="9" spans="1:17" s="81" customFormat="1" ht="78.75" customHeight="1">
      <c r="A9" s="198" t="s">
        <v>59</v>
      </c>
      <c r="B9" s="198" t="s">
        <v>110</v>
      </c>
      <c r="C9" s="198" t="s">
        <v>312</v>
      </c>
      <c r="D9" s="198" t="s">
        <v>112</v>
      </c>
      <c r="E9" s="198" t="s">
        <v>313</v>
      </c>
      <c r="F9" s="198" t="s">
        <v>314</v>
      </c>
      <c r="G9" s="198" t="s">
        <v>115</v>
      </c>
      <c r="H9" s="5" t="s">
        <v>59</v>
      </c>
      <c r="I9" s="5" t="s">
        <v>110</v>
      </c>
      <c r="J9" s="5" t="s">
        <v>312</v>
      </c>
      <c r="K9" s="5" t="s">
        <v>112</v>
      </c>
      <c r="L9" s="5" t="s">
        <v>313</v>
      </c>
      <c r="M9" s="5" t="s">
        <v>314</v>
      </c>
      <c r="N9" s="5" t="s">
        <v>63</v>
      </c>
      <c r="O9" s="81" t="str">
        <f>H9</f>
        <v>Rādītāji</v>
      </c>
      <c r="P9" s="228" t="str">
        <f>K9</f>
        <v>Izpilde no gada sākuma</v>
      </c>
      <c r="Q9" s="217" t="str">
        <f>'[6]Februāris'!K9</f>
        <v>Izpilde no gada sākuma</v>
      </c>
    </row>
    <row r="10" spans="1:17" s="81" customFormat="1" ht="12.75" customHeight="1">
      <c r="A10" s="198">
        <v>1</v>
      </c>
      <c r="B10" s="198">
        <v>2</v>
      </c>
      <c r="C10" s="198">
        <v>3</v>
      </c>
      <c r="D10" s="198">
        <v>4</v>
      </c>
      <c r="E10" s="198">
        <v>5</v>
      </c>
      <c r="F10" s="198">
        <v>6</v>
      </c>
      <c r="G10" s="198">
        <v>7</v>
      </c>
      <c r="H10" s="140">
        <v>1</v>
      </c>
      <c r="I10" s="140">
        <v>2</v>
      </c>
      <c r="J10" s="140">
        <v>3</v>
      </c>
      <c r="K10" s="140">
        <v>4</v>
      </c>
      <c r="L10" s="140">
        <v>5</v>
      </c>
      <c r="M10" s="140">
        <v>6</v>
      </c>
      <c r="N10" s="140">
        <v>7</v>
      </c>
      <c r="O10" s="87">
        <f aca="true" t="shared" si="0" ref="O10:O54">H10</f>
        <v>1</v>
      </c>
      <c r="P10" s="228">
        <f aca="true" t="shared" si="1" ref="P10:P54">K10</f>
        <v>4</v>
      </c>
      <c r="Q10" s="217">
        <f>'[6]Februāris'!K10</f>
        <v>4</v>
      </c>
    </row>
    <row r="11" spans="1:18" s="81" customFormat="1" ht="13.5" customHeight="1">
      <c r="A11" s="129" t="s">
        <v>315</v>
      </c>
      <c r="B11" s="80">
        <v>737531269</v>
      </c>
      <c r="C11" s="229"/>
      <c r="D11" s="230">
        <f>'[4]MARTS'!$D$9</f>
        <v>171291998.44000003</v>
      </c>
      <c r="E11" s="200">
        <f>IF(ISERROR(D11/B12)," ",(D11/B12))</f>
        <v>0.2254155706013419</v>
      </c>
      <c r="F11" s="200" t="str">
        <f>IF(ISERROR(D11/C11)," ",(D11/C11))</f>
        <v> </v>
      </c>
      <c r="G11" s="229"/>
      <c r="H11" s="126" t="s">
        <v>315</v>
      </c>
      <c r="I11" s="231">
        <f aca="true" t="shared" si="2" ref="I11:I16">ROUND(B11/1000,0)</f>
        <v>737531</v>
      </c>
      <c r="J11" s="231"/>
      <c r="K11" s="231">
        <f>D11/1000-794</f>
        <v>170497.99844000002</v>
      </c>
      <c r="L11" s="232">
        <f>IF(ISERROR(ROUND(K11,0)/ROUND(I11,0))," ",(ROUND(K11,)/ROUND(I11,)))</f>
        <v>0.23117401166866205</v>
      </c>
      <c r="M11" s="232" t="str">
        <f>IF(ISERROR(ROUND(K11,0)/ROUND(J11,0))," ",(ROUND(K11,)/ROUND(J11,)))</f>
        <v> </v>
      </c>
      <c r="N11" s="166">
        <v>58066</v>
      </c>
      <c r="O11" s="81" t="str">
        <f t="shared" si="0"/>
        <v>1. Ieņēmumi - kopā</v>
      </c>
      <c r="P11" s="228">
        <f t="shared" si="1"/>
        <v>170497.99844000002</v>
      </c>
      <c r="Q11" s="217">
        <f>'[6]Februāris'!K11</f>
        <v>112432</v>
      </c>
      <c r="R11" s="233">
        <f>P11-Q11</f>
        <v>58065.998440000025</v>
      </c>
    </row>
    <row r="12" spans="1:18" s="81" customFormat="1" ht="12.75" customHeight="1">
      <c r="A12" s="234" t="s">
        <v>316</v>
      </c>
      <c r="B12" s="235">
        <f>SUM(B13:B16)</f>
        <v>759894261</v>
      </c>
      <c r="C12" s="235">
        <f>C13+C14+C15+C16</f>
        <v>175929508</v>
      </c>
      <c r="D12" s="236">
        <f>SUM(D13:D16)</f>
        <v>169258236.7</v>
      </c>
      <c r="E12" s="237">
        <f aca="true" t="shared" si="3" ref="E12:E20">IF(ISERROR(D12/B12)," ",(D12/B12))</f>
        <v>0.22273919594715821</v>
      </c>
      <c r="F12" s="237">
        <f aca="true" t="shared" si="4" ref="F12:F18">IF(ISERROR(D12/C12)," ",(D12/C12))</f>
        <v>0.9620798615545494</v>
      </c>
      <c r="G12" s="238">
        <f>SUM(G13:G16)</f>
        <v>0</v>
      </c>
      <c r="H12" s="119" t="s">
        <v>316</v>
      </c>
      <c r="I12" s="239">
        <f t="shared" si="2"/>
        <v>759894</v>
      </c>
      <c r="J12" s="156">
        <f>ROUND(C12/1000,0)-1</f>
        <v>175929</v>
      </c>
      <c r="K12" s="240">
        <f>K13+K14+K15+K16</f>
        <v>169937.8507</v>
      </c>
      <c r="L12" s="241">
        <f>IF(ISERROR(K12/I12)," ",(K12/I12))</f>
        <v>0.2236336261373297</v>
      </c>
      <c r="M12" s="241">
        <f>IF(ISERROR(K12/J12)," ",(K12/J12))</f>
        <v>0.9659456411393234</v>
      </c>
      <c r="N12" s="166">
        <f>N13+N14+N15+N16</f>
        <v>58331.8507</v>
      </c>
      <c r="O12" s="81" t="str">
        <f t="shared" si="0"/>
        <v>Resursi izdevumu segšanai </v>
      </c>
      <c r="P12" s="228">
        <f t="shared" si="1"/>
        <v>169937.8507</v>
      </c>
      <c r="Q12" s="217">
        <f>'[6]Februāris'!K12</f>
        <v>111606</v>
      </c>
      <c r="R12" s="233">
        <f aca="true" t="shared" si="5" ref="R12:R54">P12-Q12</f>
        <v>58331.85070000001</v>
      </c>
    </row>
    <row r="13" spans="1:18" s="81" customFormat="1" ht="12.75" customHeight="1">
      <c r="A13" s="217" t="s">
        <v>317</v>
      </c>
      <c r="B13" s="131">
        <v>667558079</v>
      </c>
      <c r="C13" s="131">
        <v>155588727</v>
      </c>
      <c r="D13" s="131">
        <v>155588727</v>
      </c>
      <c r="E13" s="242">
        <f t="shared" si="3"/>
        <v>0.23307144635725396</v>
      </c>
      <c r="F13" s="242">
        <f t="shared" si="4"/>
        <v>1</v>
      </c>
      <c r="G13" s="209"/>
      <c r="H13" s="119" t="s">
        <v>317</v>
      </c>
      <c r="I13" s="243">
        <f t="shared" si="2"/>
        <v>667558</v>
      </c>
      <c r="J13" s="243">
        <f>ROUND(C13/1000,0)</f>
        <v>155589</v>
      </c>
      <c r="K13" s="243">
        <f>ROUND(D13/1000,0)</f>
        <v>155589</v>
      </c>
      <c r="L13" s="244">
        <f aca="true" t="shared" si="6" ref="L13:L20">IF(ISERROR(ROUND(K13,0)/ROUND(I13,0))," ",(ROUND(K13,)/ROUND(I13,)))</f>
        <v>0.23307188289257263</v>
      </c>
      <c r="M13" s="244">
        <f>IF(ISERROR(ROUND(K13,0)/ROUND(J13,0))," ",(ROUND(K13,)/ROUND(J13,)))</f>
        <v>1</v>
      </c>
      <c r="N13" s="166">
        <f>K13-'[6]Februāris'!K13</f>
        <v>53621</v>
      </c>
      <c r="O13" s="81" t="str">
        <f t="shared" si="0"/>
        <v>   Dotācija no vispārējiem ieņēmumiem</v>
      </c>
      <c r="P13" s="228">
        <f t="shared" si="1"/>
        <v>155589</v>
      </c>
      <c r="Q13" s="217">
        <f>'[6]Februāris'!K13</f>
        <v>101968</v>
      </c>
      <c r="R13" s="233">
        <f t="shared" si="5"/>
        <v>53621</v>
      </c>
    </row>
    <row r="14" spans="1:18" s="81" customFormat="1" ht="12.75" customHeight="1">
      <c r="A14" s="217" t="s">
        <v>318</v>
      </c>
      <c r="B14" s="131">
        <v>1433000</v>
      </c>
      <c r="C14" s="131">
        <v>0</v>
      </c>
      <c r="D14" s="131">
        <v>0</v>
      </c>
      <c r="E14" s="242">
        <f t="shared" si="3"/>
        <v>0</v>
      </c>
      <c r="F14" s="242">
        <v>0</v>
      </c>
      <c r="G14" s="209"/>
      <c r="H14" s="119" t="s">
        <v>318</v>
      </c>
      <c r="I14" s="243">
        <f t="shared" si="2"/>
        <v>1433</v>
      </c>
      <c r="J14" s="239">
        <v>0</v>
      </c>
      <c r="K14" s="239">
        <v>0</v>
      </c>
      <c r="L14" s="241">
        <f>IF(ISERROR(K14/I14)," ",(K14/I14))</f>
        <v>0</v>
      </c>
      <c r="M14" s="241">
        <v>0</v>
      </c>
      <c r="N14" s="166">
        <f>K14-'[6]Februāris'!K14</f>
        <v>0</v>
      </c>
      <c r="O14" s="81" t="str">
        <f t="shared" si="0"/>
        <v>   Dotācija īpašiem mērķiem</v>
      </c>
      <c r="P14" s="228">
        <f t="shared" si="1"/>
        <v>0</v>
      </c>
      <c r="Q14" s="217">
        <f>'[6]Februāris'!K14</f>
        <v>0</v>
      </c>
      <c r="R14" s="233">
        <f t="shared" si="5"/>
        <v>0</v>
      </c>
    </row>
    <row r="15" spans="1:18" s="81" customFormat="1" ht="12.75" customHeight="1">
      <c r="A15" s="217" t="s">
        <v>319</v>
      </c>
      <c r="B15" s="131">
        <v>59260125</v>
      </c>
      <c r="C15" s="131">
        <v>15990299</v>
      </c>
      <c r="D15" s="245">
        <v>13599659</v>
      </c>
      <c r="E15" s="242">
        <f t="shared" si="3"/>
        <v>0.22949089290648644</v>
      </c>
      <c r="F15" s="242">
        <f t="shared" si="4"/>
        <v>0.8504943528573168</v>
      </c>
      <c r="G15" s="209"/>
      <c r="H15" s="119" t="s">
        <v>319</v>
      </c>
      <c r="I15" s="243">
        <f t="shared" si="2"/>
        <v>59260</v>
      </c>
      <c r="J15" s="243">
        <f>ROUND(C15/1000,0)</f>
        <v>15990</v>
      </c>
      <c r="K15" s="243">
        <f>ROUND(D15/1000,0)</f>
        <v>13600</v>
      </c>
      <c r="L15" s="244">
        <f t="shared" si="6"/>
        <v>0.2294971312858589</v>
      </c>
      <c r="M15" s="244">
        <f aca="true" t="shared" si="7" ref="M15:M20">IF(ISERROR(ROUND(K15,0)/ROUND(J15,0))," ",(ROUND(K15,)/ROUND(J15,)))</f>
        <v>0.8505315822388994</v>
      </c>
      <c r="N15" s="166">
        <f>K15-'[6]Februāris'!K15</f>
        <v>4600</v>
      </c>
      <c r="O15" s="81" t="str">
        <f t="shared" si="0"/>
        <v>   Maksas pakalpojumi un citi pašu ieņēmumi</v>
      </c>
      <c r="P15" s="228">
        <f t="shared" si="1"/>
        <v>13600</v>
      </c>
      <c r="Q15" s="217">
        <f>'[6]Februāris'!K15</f>
        <v>9000</v>
      </c>
      <c r="R15" s="233">
        <f t="shared" si="5"/>
        <v>4600</v>
      </c>
    </row>
    <row r="16" spans="1:18" s="81" customFormat="1" ht="12.75" customHeight="1">
      <c r="A16" s="234" t="s">
        <v>320</v>
      </c>
      <c r="B16" s="246">
        <v>31643057</v>
      </c>
      <c r="C16" s="246">
        <v>4350482</v>
      </c>
      <c r="D16" s="246">
        <v>69850.7</v>
      </c>
      <c r="E16" s="242">
        <f t="shared" si="3"/>
        <v>0.0022074573894677748</v>
      </c>
      <c r="F16" s="242">
        <f t="shared" si="4"/>
        <v>0.01605585312156216</v>
      </c>
      <c r="G16" s="247"/>
      <c r="H16" s="119" t="s">
        <v>321</v>
      </c>
      <c r="I16" s="243">
        <f t="shared" si="2"/>
        <v>31643</v>
      </c>
      <c r="J16" s="243">
        <f>ROUND(C16/1000,0)</f>
        <v>4350</v>
      </c>
      <c r="K16" s="243">
        <f>D16/1000+638+41</f>
        <v>748.8507</v>
      </c>
      <c r="L16" s="244">
        <f t="shared" si="6"/>
        <v>0.02367032203014885</v>
      </c>
      <c r="M16" s="244">
        <f t="shared" si="7"/>
        <v>0.17218390804597702</v>
      </c>
      <c r="N16" s="166">
        <f>K16-'[6]Februāris'!K16</f>
        <v>110.85069999999996</v>
      </c>
      <c r="O16" s="81" t="str">
        <f t="shared" si="0"/>
        <v> Ārvalstu finansu palīdzība </v>
      </c>
      <c r="P16" s="228">
        <f t="shared" si="1"/>
        <v>748.8507</v>
      </c>
      <c r="Q16" s="217">
        <f>'[6]Februāris'!K16</f>
        <v>638</v>
      </c>
      <c r="R16" s="233">
        <f t="shared" si="5"/>
        <v>110.85069999999996</v>
      </c>
    </row>
    <row r="17" spans="1:18" s="81" customFormat="1" ht="13.5" customHeight="1">
      <c r="A17" s="129" t="s">
        <v>322</v>
      </c>
      <c r="B17" s="181">
        <f>SUM(B18,B40)</f>
        <v>759846889</v>
      </c>
      <c r="C17" s="181">
        <f>SUM(C18,C40)</f>
        <v>175929508</v>
      </c>
      <c r="D17" s="230">
        <f>SUM(D18,D40)</f>
        <v>161145271.79999998</v>
      </c>
      <c r="E17" s="200">
        <f t="shared" si="3"/>
        <v>0.21207597758553168</v>
      </c>
      <c r="F17" s="200">
        <f t="shared" si="4"/>
        <v>0.9159650000271699</v>
      </c>
      <c r="G17" s="247"/>
      <c r="H17" s="126" t="s">
        <v>322</v>
      </c>
      <c r="I17" s="248">
        <f>SUM(I18,I40)</f>
        <v>759847</v>
      </c>
      <c r="J17" s="248">
        <f>SUM(J18,J40)</f>
        <v>175929</v>
      </c>
      <c r="K17" s="6">
        <f>SUM(K18,K40)</f>
        <v>161145</v>
      </c>
      <c r="L17" s="232">
        <f t="shared" si="6"/>
        <v>0.2120755889014499</v>
      </c>
      <c r="M17" s="232">
        <f t="shared" si="7"/>
        <v>0.9159660999607796</v>
      </c>
      <c r="N17" s="166">
        <f>N18+N40</f>
        <v>57287</v>
      </c>
      <c r="O17" s="81" t="str">
        <f t="shared" si="0"/>
        <v>2. Izdevumi - kopā (2.1.+2.2.)</v>
      </c>
      <c r="P17" s="228">
        <f t="shared" si="1"/>
        <v>161145</v>
      </c>
      <c r="Q17" s="217">
        <f>'[6]Februāris'!K17</f>
        <v>109855</v>
      </c>
      <c r="R17" s="233">
        <f t="shared" si="5"/>
        <v>51290</v>
      </c>
    </row>
    <row r="18" spans="1:18" s="81" customFormat="1" ht="13.5" customHeight="1">
      <c r="A18" s="197" t="s">
        <v>323</v>
      </c>
      <c r="B18" s="206">
        <v>694317503</v>
      </c>
      <c r="C18" s="206">
        <v>165458180</v>
      </c>
      <c r="D18" s="249">
        <f>SUM(D19,D23,D27)</f>
        <v>154566377.23999998</v>
      </c>
      <c r="E18" s="200">
        <f t="shared" si="3"/>
        <v>0.22261627651924537</v>
      </c>
      <c r="F18" s="200">
        <f t="shared" si="4"/>
        <v>0.9341718689278462</v>
      </c>
      <c r="G18" s="247"/>
      <c r="H18" s="201" t="s">
        <v>323</v>
      </c>
      <c r="I18" s="231">
        <f aca="true" t="shared" si="8" ref="I18:J20">ROUND(B18/1000,0)</f>
        <v>694318</v>
      </c>
      <c r="J18" s="231">
        <f t="shared" si="8"/>
        <v>165458</v>
      </c>
      <c r="K18" s="52">
        <f>SUM(K19,K23,K27)</f>
        <v>154566</v>
      </c>
      <c r="L18" s="232">
        <f t="shared" si="6"/>
        <v>0.22261557384368547</v>
      </c>
      <c r="M18" s="232">
        <f t="shared" si="7"/>
        <v>0.9341706052291215</v>
      </c>
      <c r="N18" s="166">
        <f>N19+N23+N27</f>
        <v>54777</v>
      </c>
      <c r="O18" s="81" t="str">
        <f t="shared" si="0"/>
        <v>2.1. Uzturēšanas izdevumi</v>
      </c>
      <c r="P18" s="228">
        <f t="shared" si="1"/>
        <v>154566</v>
      </c>
      <c r="Q18" s="217">
        <f>'[6]Februāris'!K18</f>
        <v>105786</v>
      </c>
      <c r="R18" s="233">
        <f t="shared" si="5"/>
        <v>48780</v>
      </c>
    </row>
    <row r="19" spans="1:18" s="81" customFormat="1" ht="18" customHeight="1">
      <c r="A19" s="250" t="s">
        <v>324</v>
      </c>
      <c r="B19" s="206">
        <v>354644600</v>
      </c>
      <c r="C19" s="209">
        <v>866601379</v>
      </c>
      <c r="D19" s="249">
        <f>D20+D21+D22</f>
        <v>78320877.97999999</v>
      </c>
      <c r="E19" s="200">
        <f t="shared" si="3"/>
        <v>0.22084328361407446</v>
      </c>
      <c r="F19" s="200" t="str">
        <f>IF(ISERROR(D19/#REF!)," ",(D19/#REF!))</f>
        <v> </v>
      </c>
      <c r="G19" s="247"/>
      <c r="H19" s="151" t="s">
        <v>324</v>
      </c>
      <c r="I19" s="231">
        <f t="shared" si="8"/>
        <v>354645</v>
      </c>
      <c r="J19" s="231">
        <f>C19/1000</f>
        <v>866601.379</v>
      </c>
      <c r="K19" s="108">
        <f>SUM(K20,K21,K22,)</f>
        <v>78320</v>
      </c>
      <c r="L19" s="232">
        <f t="shared" si="6"/>
        <v>0.2208405588687279</v>
      </c>
      <c r="M19" s="232">
        <f t="shared" si="7"/>
        <v>0.09037607849517829</v>
      </c>
      <c r="N19" s="166">
        <f>N20+N21+N22</f>
        <v>27901</v>
      </c>
      <c r="O19" s="81" t="str">
        <f t="shared" si="0"/>
        <v>Kārtējie izdevumi</v>
      </c>
      <c r="P19" s="228">
        <f t="shared" si="1"/>
        <v>78320</v>
      </c>
      <c r="Q19" s="217">
        <f>'[6]Februāris'!K19</f>
        <v>50419</v>
      </c>
      <c r="R19" s="233">
        <f t="shared" si="5"/>
        <v>27901</v>
      </c>
    </row>
    <row r="20" spans="1:18" s="81" customFormat="1" ht="13.5" customHeight="1">
      <c r="A20" s="81" t="s">
        <v>325</v>
      </c>
      <c r="B20" s="209">
        <v>165669282</v>
      </c>
      <c r="C20" s="81">
        <v>39333985</v>
      </c>
      <c r="D20" s="233">
        <v>36584323.19</v>
      </c>
      <c r="E20" s="242">
        <f t="shared" si="3"/>
        <v>0.220827438547117</v>
      </c>
      <c r="F20" s="242">
        <f>IF(ISERROR(D20/C19)," ",(D20/C19))</f>
        <v>0.042215860805825005</v>
      </c>
      <c r="G20" s="209"/>
      <c r="H20" s="67" t="s">
        <v>325</v>
      </c>
      <c r="I20" s="243">
        <f t="shared" si="8"/>
        <v>165669</v>
      </c>
      <c r="J20" s="231">
        <f>C20/1000</f>
        <v>39333.985</v>
      </c>
      <c r="K20" s="243">
        <f>ROUND(D20/1000,0)</f>
        <v>36584</v>
      </c>
      <c r="L20" s="244">
        <f t="shared" si="6"/>
        <v>0.22082586361962708</v>
      </c>
      <c r="M20" s="244">
        <f t="shared" si="7"/>
        <v>0.9300859307469365</v>
      </c>
      <c r="N20" s="166">
        <f>K20-'[6]Februāris'!K20</f>
        <v>12970</v>
      </c>
      <c r="O20" s="81" t="str">
        <f t="shared" si="0"/>
        <v>    atalgojumi</v>
      </c>
      <c r="P20" s="228">
        <f t="shared" si="1"/>
        <v>36584</v>
      </c>
      <c r="Q20" s="217">
        <f>'[6]Februāris'!K20</f>
        <v>23614</v>
      </c>
      <c r="R20" s="233">
        <f t="shared" si="5"/>
        <v>12970</v>
      </c>
    </row>
    <row r="21" spans="1:18" s="81" customFormat="1" ht="24" customHeight="1">
      <c r="A21" s="217" t="s">
        <v>326</v>
      </c>
      <c r="B21" s="251" t="s">
        <v>66</v>
      </c>
      <c r="C21" s="251" t="s">
        <v>66</v>
      </c>
      <c r="D21" s="233">
        <v>10151268.72</v>
      </c>
      <c r="E21" s="252" t="s">
        <v>66</v>
      </c>
      <c r="F21" s="253" t="s">
        <v>66</v>
      </c>
      <c r="G21" s="209"/>
      <c r="H21" s="119" t="s">
        <v>326</v>
      </c>
      <c r="I21" s="254" t="s">
        <v>66</v>
      </c>
      <c r="J21" s="254" t="s">
        <v>66</v>
      </c>
      <c r="K21" s="243">
        <f>ROUND(D21/1000,0)</f>
        <v>10151</v>
      </c>
      <c r="L21" s="255" t="s">
        <v>66</v>
      </c>
      <c r="M21" s="256" t="s">
        <v>66</v>
      </c>
      <c r="N21" s="166">
        <f>K21-'[6]Februāris'!K21</f>
        <v>3266</v>
      </c>
      <c r="O21" s="217" t="str">
        <f t="shared" si="0"/>
        <v>   valsts sociālās apdrošināšanas obligātās iemaksas</v>
      </c>
      <c r="P21" s="228">
        <f t="shared" si="1"/>
        <v>10151</v>
      </c>
      <c r="Q21" s="217">
        <f>'[6]Februāris'!K21</f>
        <v>6885</v>
      </c>
      <c r="R21" s="233">
        <f t="shared" si="5"/>
        <v>3266</v>
      </c>
    </row>
    <row r="22" spans="1:18" s="81" customFormat="1" ht="14.25" customHeight="1">
      <c r="A22" s="217" t="s">
        <v>327</v>
      </c>
      <c r="B22" s="251" t="s">
        <v>66</v>
      </c>
      <c r="C22" s="251">
        <v>47267394</v>
      </c>
      <c r="D22" s="233">
        <f>1096.39+1166058.97+14488429.42+15800745.68+180312.57+22643.04-74000</f>
        <v>31585286.07</v>
      </c>
      <c r="E22" s="252" t="s">
        <v>66</v>
      </c>
      <c r="F22" s="253" t="s">
        <v>66</v>
      </c>
      <c r="G22" s="209"/>
      <c r="H22" s="119" t="s">
        <v>327</v>
      </c>
      <c r="I22" s="254" t="s">
        <v>66</v>
      </c>
      <c r="J22" s="254">
        <f>C22/1000</f>
        <v>47267.394</v>
      </c>
      <c r="K22" s="243">
        <f>ROUND(D22/1000,0)</f>
        <v>31585</v>
      </c>
      <c r="L22" s="255" t="s">
        <v>66</v>
      </c>
      <c r="M22" s="256" t="s">
        <v>66</v>
      </c>
      <c r="N22" s="166">
        <f>K22-'[6]Februāris'!K22</f>
        <v>11665</v>
      </c>
      <c r="O22" s="81" t="str">
        <f t="shared" si="0"/>
        <v>    pārējie kārtējie izdevumi</v>
      </c>
      <c r="P22" s="228">
        <f t="shared" si="1"/>
        <v>31585</v>
      </c>
      <c r="Q22" s="217">
        <f>'[6]Februāris'!K22</f>
        <v>19920</v>
      </c>
      <c r="R22" s="233">
        <f t="shared" si="5"/>
        <v>11665</v>
      </c>
    </row>
    <row r="23" spans="1:18" s="81" customFormat="1" ht="28.5" customHeight="1">
      <c r="A23" s="129" t="s">
        <v>328</v>
      </c>
      <c r="B23" s="206">
        <v>39335166</v>
      </c>
      <c r="C23" s="206">
        <v>6700358</v>
      </c>
      <c r="D23" s="249">
        <f>SUM(D24,D25,D26)</f>
        <v>6359047.879999999</v>
      </c>
      <c r="E23" s="200">
        <f>IF(ISERROR(D23/B23)," ",(D23/B23))</f>
        <v>0.16166317640556033</v>
      </c>
      <c r="F23" s="200">
        <f>IF(ISERROR(D23/C23)," ",(D23/C23))</f>
        <v>0.9490609128646558</v>
      </c>
      <c r="G23" s="209"/>
      <c r="H23" s="126" t="s">
        <v>328</v>
      </c>
      <c r="I23" s="257">
        <f>ROUND(B23/1000,0)</f>
        <v>39335</v>
      </c>
      <c r="J23" s="257">
        <f>ROUND(C23/1000,0)</f>
        <v>6700</v>
      </c>
      <c r="K23" s="108">
        <f>SUM(K24,K25,K26)</f>
        <v>6359</v>
      </c>
      <c r="L23" s="232">
        <f>IF(ISERROR(ROUND(K23,0)/ROUND(I23,0))," ",(ROUND(K23,)/ROUND(I23,)))</f>
        <v>0.16166264141349942</v>
      </c>
      <c r="M23" s="232">
        <f>IF(ISERROR(ROUND(K23,0)/ROUND(J23,0))," ",(ROUND(K23,)/ROUND(J23,)))</f>
        <v>0.9491044776119403</v>
      </c>
      <c r="N23" s="166">
        <f>N24+N25+N26</f>
        <v>3503</v>
      </c>
      <c r="O23" s="81" t="str">
        <f t="shared" si="0"/>
        <v>Maksājumi par aizņēmumiem un kredītiem</v>
      </c>
      <c r="P23" s="228">
        <f t="shared" si="1"/>
        <v>6359</v>
      </c>
      <c r="Q23" s="217">
        <f>'[6]Februāris'!K23</f>
        <v>2856</v>
      </c>
      <c r="R23" s="233">
        <f t="shared" si="5"/>
        <v>3503</v>
      </c>
    </row>
    <row r="24" spans="1:18" s="81" customFormat="1" ht="27" customHeight="1">
      <c r="A24" s="217" t="s">
        <v>329</v>
      </c>
      <c r="B24" s="251" t="s">
        <v>66</v>
      </c>
      <c r="C24" s="251" t="s">
        <v>66</v>
      </c>
      <c r="D24" s="233">
        <v>2682428.17</v>
      </c>
      <c r="E24" s="252" t="s">
        <v>66</v>
      </c>
      <c r="F24" s="253" t="s">
        <v>66</v>
      </c>
      <c r="G24" s="209"/>
      <c r="H24" s="119" t="s">
        <v>329</v>
      </c>
      <c r="I24" s="254" t="s">
        <v>66</v>
      </c>
      <c r="J24" s="254" t="s">
        <v>66</v>
      </c>
      <c r="K24" s="243">
        <f>ROUND(D24/1000,0)</f>
        <v>2682</v>
      </c>
      <c r="L24" s="255" t="s">
        <v>66</v>
      </c>
      <c r="M24" s="256" t="s">
        <v>66</v>
      </c>
      <c r="N24" s="166">
        <f>K24-'[6]Februāris'!K24</f>
        <v>996</v>
      </c>
      <c r="O24" s="217" t="str">
        <f t="shared" si="0"/>
        <v>   procentu nomaksa par iekšējiem aizņēmumiem</v>
      </c>
      <c r="P24" s="228">
        <f t="shared" si="1"/>
        <v>2682</v>
      </c>
      <c r="Q24" s="217">
        <f>'[6]Februāris'!K24</f>
        <v>1686</v>
      </c>
      <c r="R24" s="233">
        <f t="shared" si="5"/>
        <v>996</v>
      </c>
    </row>
    <row r="25" spans="1:18" s="81" customFormat="1" ht="14.25" customHeight="1">
      <c r="A25" s="217" t="s">
        <v>330</v>
      </c>
      <c r="B25" s="251" t="s">
        <v>66</v>
      </c>
      <c r="C25" s="251" t="s">
        <v>66</v>
      </c>
      <c r="D25" s="233">
        <v>3405036.19</v>
      </c>
      <c r="E25" s="252" t="s">
        <v>66</v>
      </c>
      <c r="F25" s="253" t="s">
        <v>66</v>
      </c>
      <c r="G25" s="209"/>
      <c r="H25" s="119" t="s">
        <v>330</v>
      </c>
      <c r="I25" s="254" t="s">
        <v>66</v>
      </c>
      <c r="J25" s="254" t="s">
        <v>66</v>
      </c>
      <c r="K25" s="243">
        <f>ROUND(D25/1000,0)</f>
        <v>3405</v>
      </c>
      <c r="L25" s="255" t="s">
        <v>66</v>
      </c>
      <c r="M25" s="256" t="s">
        <v>66</v>
      </c>
      <c r="N25" s="166">
        <f>K25-'[6]Februāris'!K25</f>
        <v>2263</v>
      </c>
      <c r="O25" s="81" t="str">
        <f t="shared" si="0"/>
        <v>    procentu nomaksa ārvalstu institūcijām</v>
      </c>
      <c r="P25" s="228">
        <f t="shared" si="1"/>
        <v>3405</v>
      </c>
      <c r="Q25" s="217">
        <f>'[6]Februāris'!K25</f>
        <v>1142</v>
      </c>
      <c r="R25" s="233">
        <f t="shared" si="5"/>
        <v>2263</v>
      </c>
    </row>
    <row r="26" spans="1:18" s="81" customFormat="1" ht="27" customHeight="1">
      <c r="A26" s="217" t="s">
        <v>331</v>
      </c>
      <c r="B26" s="251" t="s">
        <v>66</v>
      </c>
      <c r="C26" s="251" t="s">
        <v>66</v>
      </c>
      <c r="D26" s="233">
        <v>271583.52</v>
      </c>
      <c r="E26" s="252" t="s">
        <v>66</v>
      </c>
      <c r="F26" s="253" t="s">
        <v>66</v>
      </c>
      <c r="G26" s="209"/>
      <c r="H26" s="119" t="s">
        <v>332</v>
      </c>
      <c r="I26" s="254" t="s">
        <v>66</v>
      </c>
      <c r="J26" s="254" t="s">
        <v>66</v>
      </c>
      <c r="K26" s="243">
        <f>ROUND(D26/1000,0)</f>
        <v>272</v>
      </c>
      <c r="L26" s="255" t="s">
        <v>66</v>
      </c>
      <c r="M26" s="256" t="s">
        <v>66</v>
      </c>
      <c r="N26" s="166">
        <f>K26-'[6]Februāris'!K26</f>
        <v>244</v>
      </c>
      <c r="O26" s="217" t="str">
        <f t="shared" si="0"/>
        <v>   Finansu ministrijas maksājumi par valsts     parāda apkalpošanu</v>
      </c>
      <c r="P26" s="228">
        <f t="shared" si="1"/>
        <v>272</v>
      </c>
      <c r="Q26" s="217">
        <f>'[6]Februāris'!K26</f>
        <v>28</v>
      </c>
      <c r="R26" s="233">
        <f t="shared" si="5"/>
        <v>244</v>
      </c>
    </row>
    <row r="27" spans="1:18" s="81" customFormat="1" ht="15.75" customHeight="1">
      <c r="A27" s="80" t="s">
        <v>333</v>
      </c>
      <c r="B27" s="206">
        <v>300337737</v>
      </c>
      <c r="C27" s="206">
        <v>72156443</v>
      </c>
      <c r="D27" s="249">
        <f>SUM(D28,D29,D30,D31,D34,D39)</f>
        <v>69886451.38</v>
      </c>
      <c r="E27" s="200">
        <f>IF(ISERROR(D27/B27)," ",(D27/B27))</f>
        <v>0.2326928746220126</v>
      </c>
      <c r="F27" s="200">
        <f>IF(ISERROR(D27/C27)," ",(D27/C27))</f>
        <v>0.9685406940028903</v>
      </c>
      <c r="G27" s="209"/>
      <c r="H27" s="65" t="s">
        <v>333</v>
      </c>
      <c r="I27" s="257">
        <f>ROUND(B27/1000,0)</f>
        <v>300338</v>
      </c>
      <c r="J27" s="257">
        <f>ROUND(C27/1000,0)</f>
        <v>72156</v>
      </c>
      <c r="K27" s="257">
        <f>SUM(K28,K29,K30,K31,K34,K39)</f>
        <v>69887</v>
      </c>
      <c r="L27" s="232">
        <f>IF(ISERROR(ROUND(K27,0)/ROUND(I27,0))," ",(ROUND(K27,)/ROUND(I27,)))</f>
        <v>0.23269449753277974</v>
      </c>
      <c r="M27" s="232">
        <f>IF(ISERROR(ROUND(K27,0)/ROUND(J27,0))," ",(ROUND(K27,)/ROUND(J27,)))</f>
        <v>0.9685542435833472</v>
      </c>
      <c r="N27" s="166">
        <f>N28+N29+N30+N31+N34+N39</f>
        <v>23373</v>
      </c>
      <c r="O27" s="81" t="str">
        <f t="shared" si="0"/>
        <v>Subsīdijas un dotācijas</v>
      </c>
      <c r="P27" s="228">
        <f t="shared" si="1"/>
        <v>69887</v>
      </c>
      <c r="Q27" s="217">
        <f>'[6]Februāris'!K27</f>
        <v>52511</v>
      </c>
      <c r="R27" s="233">
        <f t="shared" si="5"/>
        <v>17376</v>
      </c>
    </row>
    <row r="28" spans="1:18" s="81" customFormat="1" ht="13.5" customHeight="1">
      <c r="A28" s="81" t="s">
        <v>334</v>
      </c>
      <c r="B28" s="251" t="s">
        <v>66</v>
      </c>
      <c r="C28" s="251" t="s">
        <v>66</v>
      </c>
      <c r="D28" s="233">
        <f>2851136.21+690953</f>
        <v>3542089.21</v>
      </c>
      <c r="E28" s="252" t="s">
        <v>66</v>
      </c>
      <c r="F28" s="253" t="s">
        <v>66</v>
      </c>
      <c r="G28" s="209"/>
      <c r="H28" s="67" t="s">
        <v>334</v>
      </c>
      <c r="I28" s="254" t="s">
        <v>66</v>
      </c>
      <c r="J28" s="254" t="s">
        <v>66</v>
      </c>
      <c r="K28" s="258">
        <f aca="true" t="shared" si="9" ref="K28:K33">ROUND(D28/1000,0)</f>
        <v>3542</v>
      </c>
      <c r="L28" s="255" t="s">
        <v>66</v>
      </c>
      <c r="M28" s="256" t="s">
        <v>66</v>
      </c>
      <c r="N28" s="166">
        <f>K28-'[6]Februāris'!K28</f>
        <v>1444</v>
      </c>
      <c r="O28" s="81" t="str">
        <f t="shared" si="0"/>
        <v>    subsīdijas</v>
      </c>
      <c r="P28" s="228">
        <f t="shared" si="1"/>
        <v>3542</v>
      </c>
      <c r="Q28" s="217">
        <f>'[6]Februāris'!K28</f>
        <v>2098</v>
      </c>
      <c r="R28" s="233">
        <f t="shared" si="5"/>
        <v>1444</v>
      </c>
    </row>
    <row r="29" spans="1:18" s="81" customFormat="1" ht="13.5" customHeight="1">
      <c r="A29" s="217" t="s">
        <v>335</v>
      </c>
      <c r="B29" s="251" t="s">
        <v>66</v>
      </c>
      <c r="C29" s="251" t="s">
        <v>66</v>
      </c>
      <c r="D29" s="233">
        <v>21833978</v>
      </c>
      <c r="E29" s="252" t="s">
        <v>66</v>
      </c>
      <c r="F29" s="253" t="s">
        <v>66</v>
      </c>
      <c r="G29" s="209"/>
      <c r="H29" s="119" t="s">
        <v>335</v>
      </c>
      <c r="I29" s="254" t="s">
        <v>66</v>
      </c>
      <c r="J29" s="254" t="s">
        <v>66</v>
      </c>
      <c r="K29" s="243">
        <f t="shared" si="9"/>
        <v>21834</v>
      </c>
      <c r="L29" s="255" t="s">
        <v>66</v>
      </c>
      <c r="M29" s="256" t="s">
        <v>66</v>
      </c>
      <c r="N29" s="166">
        <f>K29-'[6]Februāris'!K29</f>
        <v>7710</v>
      </c>
      <c r="O29" s="81" t="str">
        <f t="shared" si="0"/>
        <v>    mērķdotācijas pašvaldību budžetiem</v>
      </c>
      <c r="P29" s="228">
        <f t="shared" si="1"/>
        <v>21834</v>
      </c>
      <c r="Q29" s="217">
        <f>'[6]Februāris'!K29</f>
        <v>14124</v>
      </c>
      <c r="R29" s="233">
        <f t="shared" si="5"/>
        <v>7710</v>
      </c>
    </row>
    <row r="30" spans="1:18" s="81" customFormat="1" ht="13.5" customHeight="1">
      <c r="A30" s="217" t="s">
        <v>336</v>
      </c>
      <c r="B30" s="251" t="s">
        <v>66</v>
      </c>
      <c r="C30" s="251" t="s">
        <v>66</v>
      </c>
      <c r="D30" s="233">
        <v>1863820</v>
      </c>
      <c r="E30" s="252" t="s">
        <v>66</v>
      </c>
      <c r="F30" s="253" t="s">
        <v>66</v>
      </c>
      <c r="G30" s="209"/>
      <c r="H30" s="119" t="s">
        <v>336</v>
      </c>
      <c r="I30" s="254" t="s">
        <v>66</v>
      </c>
      <c r="J30" s="254" t="s">
        <v>66</v>
      </c>
      <c r="K30" s="243">
        <f t="shared" si="9"/>
        <v>1864</v>
      </c>
      <c r="L30" s="255" t="s">
        <v>66</v>
      </c>
      <c r="M30" s="256" t="s">
        <v>66</v>
      </c>
      <c r="N30" s="166">
        <f>K30-'[6]Februāris'!K30</f>
        <v>621</v>
      </c>
      <c r="O30" s="81" t="str">
        <f t="shared" si="0"/>
        <v>    dotācijas pašvaldību budžetiem</v>
      </c>
      <c r="P30" s="228">
        <f t="shared" si="1"/>
        <v>1864</v>
      </c>
      <c r="Q30" s="217">
        <f>'[6]Februāris'!K30</f>
        <v>1243</v>
      </c>
      <c r="R30" s="233">
        <f t="shared" si="5"/>
        <v>621</v>
      </c>
    </row>
    <row r="31" spans="1:18" s="81" customFormat="1" ht="13.5" customHeight="1">
      <c r="A31" s="217" t="s">
        <v>337</v>
      </c>
      <c r="B31" s="251">
        <v>33184406</v>
      </c>
      <c r="C31" s="251">
        <v>9037595</v>
      </c>
      <c r="D31" s="233">
        <f>8802097.25+14413876</f>
        <v>23215973.25</v>
      </c>
      <c r="E31" s="252" t="s">
        <v>66</v>
      </c>
      <c r="F31" s="253" t="s">
        <v>66</v>
      </c>
      <c r="G31" s="209"/>
      <c r="H31" s="119" t="s">
        <v>337</v>
      </c>
      <c r="I31" s="254" t="s">
        <v>66</v>
      </c>
      <c r="J31" s="254">
        <f>ROUND(C31/1000,0)</f>
        <v>9038</v>
      </c>
      <c r="K31" s="243">
        <f t="shared" si="9"/>
        <v>23216</v>
      </c>
      <c r="L31" s="255" t="s">
        <v>66</v>
      </c>
      <c r="M31" s="256" t="s">
        <v>66</v>
      </c>
      <c r="N31" s="166">
        <f>K31-'[6]Februāris'!K31</f>
        <v>7451</v>
      </c>
      <c r="O31" s="81" t="str">
        <f t="shared" si="0"/>
        <v>    dotācijas iestādēm un organizācijām</v>
      </c>
      <c r="P31" s="228">
        <f t="shared" si="1"/>
        <v>23216</v>
      </c>
      <c r="Q31" s="217">
        <f>'[6]Februāris'!K31</f>
        <v>15765</v>
      </c>
      <c r="R31" s="233">
        <f t="shared" si="5"/>
        <v>7451</v>
      </c>
    </row>
    <row r="32" spans="1:18" s="269" customFormat="1" ht="13.5" customHeight="1">
      <c r="A32" s="259" t="s">
        <v>338</v>
      </c>
      <c r="B32" s="260" t="s">
        <v>66</v>
      </c>
      <c r="C32" s="260" t="s">
        <v>66</v>
      </c>
      <c r="D32" s="261">
        <v>14413876</v>
      </c>
      <c r="E32" s="262" t="s">
        <v>66</v>
      </c>
      <c r="F32" s="263" t="s">
        <v>66</v>
      </c>
      <c r="G32" s="209"/>
      <c r="H32" s="264" t="s">
        <v>339</v>
      </c>
      <c r="I32" s="265" t="s">
        <v>66</v>
      </c>
      <c r="J32" s="265" t="s">
        <v>66</v>
      </c>
      <c r="K32" s="266">
        <f>ROUND(D32/1000,0)+63</f>
        <v>14477</v>
      </c>
      <c r="L32" s="267" t="s">
        <v>66</v>
      </c>
      <c r="M32" s="268" t="s">
        <v>66</v>
      </c>
      <c r="N32" s="166">
        <f>K32-'[6]Februāris'!K32</f>
        <v>4769</v>
      </c>
      <c r="O32" s="81" t="str">
        <f t="shared" si="0"/>
        <v>                 t.sk.speciālajam budžetam</v>
      </c>
      <c r="P32" s="228">
        <f t="shared" si="1"/>
        <v>14477</v>
      </c>
      <c r="Q32" s="217">
        <f>'[6]Februāris'!K32</f>
        <v>9708</v>
      </c>
      <c r="R32" s="233">
        <f t="shared" si="5"/>
        <v>4769</v>
      </c>
    </row>
    <row r="33" spans="1:18" s="269" customFormat="1" ht="13.5" customHeight="1">
      <c r="A33" s="259" t="s">
        <v>340</v>
      </c>
      <c r="B33" s="260" t="s">
        <v>66</v>
      </c>
      <c r="C33" s="260" t="s">
        <v>66</v>
      </c>
      <c r="D33" s="261">
        <f>D31-D32</f>
        <v>8802097.25</v>
      </c>
      <c r="E33" s="262" t="s">
        <v>66</v>
      </c>
      <c r="F33" s="263" t="s">
        <v>66</v>
      </c>
      <c r="G33" s="209"/>
      <c r="H33" s="171" t="s">
        <v>341</v>
      </c>
      <c r="I33" s="265" t="s">
        <v>66</v>
      </c>
      <c r="J33" s="265" t="s">
        <v>66</v>
      </c>
      <c r="K33" s="266">
        <f t="shared" si="9"/>
        <v>8802</v>
      </c>
      <c r="L33" s="267" t="s">
        <v>66</v>
      </c>
      <c r="M33" s="268" t="s">
        <v>66</v>
      </c>
      <c r="N33" s="166">
        <f>K33-'[6]Februāris'!K33</f>
        <v>2745</v>
      </c>
      <c r="O33" s="81" t="str">
        <f t="shared" si="0"/>
        <v>           pārējiem</v>
      </c>
      <c r="P33" s="228">
        <f t="shared" si="1"/>
        <v>8802</v>
      </c>
      <c r="Q33" s="217">
        <f>'[6]Februāris'!K33</f>
        <v>6057</v>
      </c>
      <c r="R33" s="233">
        <f t="shared" si="5"/>
        <v>2745</v>
      </c>
    </row>
    <row r="34" spans="1:18" ht="13.5" customHeight="1">
      <c r="A34" s="217" t="s">
        <v>342</v>
      </c>
      <c r="B34" s="251">
        <v>72148552</v>
      </c>
      <c r="C34" s="251">
        <v>18551967</v>
      </c>
      <c r="D34" s="233">
        <f>D35+D36+D37+D38</f>
        <v>18192962.58</v>
      </c>
      <c r="E34" s="252" t="s">
        <v>66</v>
      </c>
      <c r="F34" s="253" t="s">
        <v>66</v>
      </c>
      <c r="G34" s="209"/>
      <c r="H34" s="119" t="s">
        <v>342</v>
      </c>
      <c r="I34" s="254" t="s">
        <v>66</v>
      </c>
      <c r="J34" s="254">
        <f>ROUND(C34/1000,0)</f>
        <v>18552</v>
      </c>
      <c r="K34" s="240">
        <f>SUM(K35,K36,K37,K38)</f>
        <v>18193</v>
      </c>
      <c r="L34" s="255" t="s">
        <v>66</v>
      </c>
      <c r="M34" s="256" t="s">
        <v>66</v>
      </c>
      <c r="N34" s="166">
        <f>N35+N36+N37+N38</f>
        <v>5997</v>
      </c>
      <c r="O34" s="81" t="str">
        <f t="shared" si="0"/>
        <v>     dotācijas iedzīvotājiem</v>
      </c>
      <c r="P34" s="228">
        <f t="shared" si="1"/>
        <v>18193</v>
      </c>
      <c r="Q34" s="217">
        <f>'[6]Februāris'!K34</f>
        <v>18193</v>
      </c>
      <c r="R34" s="233">
        <f t="shared" si="5"/>
        <v>0</v>
      </c>
    </row>
    <row r="35" spans="1:18" s="271" customFormat="1" ht="13.5" customHeight="1">
      <c r="A35" s="259" t="s">
        <v>343</v>
      </c>
      <c r="B35" s="260" t="s">
        <v>66</v>
      </c>
      <c r="C35" s="260" t="s">
        <v>66</v>
      </c>
      <c r="D35" s="270">
        <v>265893.29</v>
      </c>
      <c r="E35" s="262" t="s">
        <v>66</v>
      </c>
      <c r="F35" s="263" t="s">
        <v>66</v>
      </c>
      <c r="G35" s="209"/>
      <c r="H35" s="264" t="s">
        <v>344</v>
      </c>
      <c r="I35" s="265" t="s">
        <v>66</v>
      </c>
      <c r="J35" s="265" t="s">
        <v>66</v>
      </c>
      <c r="K35" s="266">
        <f>ROUND(D35/1000,0)</f>
        <v>266</v>
      </c>
      <c r="L35" s="267" t="s">
        <v>66</v>
      </c>
      <c r="M35" s="268" t="s">
        <v>66</v>
      </c>
      <c r="N35" s="166">
        <v>112</v>
      </c>
      <c r="O35" s="81" t="str">
        <f t="shared" si="0"/>
        <v>                 t.sk.        pensijas </v>
      </c>
      <c r="P35" s="228">
        <f t="shared" si="1"/>
        <v>266</v>
      </c>
      <c r="Q35" s="217">
        <f>'[6]Februāris'!K35</f>
        <v>266</v>
      </c>
      <c r="R35" s="233">
        <f t="shared" si="5"/>
        <v>0</v>
      </c>
    </row>
    <row r="36" spans="1:18" s="271" customFormat="1" ht="13.5" customHeight="1">
      <c r="A36" s="259" t="s">
        <v>345</v>
      </c>
      <c r="B36" s="260" t="s">
        <v>66</v>
      </c>
      <c r="C36" s="260" t="s">
        <v>66</v>
      </c>
      <c r="D36" s="270">
        <v>13398099.59</v>
      </c>
      <c r="E36" s="262" t="s">
        <v>66</v>
      </c>
      <c r="F36" s="263" t="s">
        <v>66</v>
      </c>
      <c r="G36" s="209"/>
      <c r="H36" s="171" t="s">
        <v>346</v>
      </c>
      <c r="I36" s="265" t="s">
        <v>66</v>
      </c>
      <c r="J36" s="265" t="s">
        <v>66</v>
      </c>
      <c r="K36" s="266">
        <f>ROUND(D36/1000,0)</f>
        <v>13398</v>
      </c>
      <c r="L36" s="267" t="s">
        <v>66</v>
      </c>
      <c r="M36" s="268" t="s">
        <v>66</v>
      </c>
      <c r="N36" s="166">
        <v>4373</v>
      </c>
      <c r="O36" s="81" t="str">
        <f t="shared" si="0"/>
        <v>         pabalsti</v>
      </c>
      <c r="P36" s="228">
        <f t="shared" si="1"/>
        <v>13398</v>
      </c>
      <c r="Q36" s="217">
        <f>'[6]Februāris'!K36</f>
        <v>13398</v>
      </c>
      <c r="R36" s="233">
        <f t="shared" si="5"/>
        <v>0</v>
      </c>
    </row>
    <row r="37" spans="1:18" s="271" customFormat="1" ht="13.5" customHeight="1">
      <c r="A37" s="259" t="s">
        <v>347</v>
      </c>
      <c r="B37" s="260" t="s">
        <v>66</v>
      </c>
      <c r="C37" s="260" t="s">
        <v>66</v>
      </c>
      <c r="D37" s="270">
        <v>1780319.63</v>
      </c>
      <c r="E37" s="262" t="s">
        <v>66</v>
      </c>
      <c r="F37" s="263" t="s">
        <v>66</v>
      </c>
      <c r="G37" s="209"/>
      <c r="H37" s="171" t="s">
        <v>348</v>
      </c>
      <c r="I37" s="265" t="s">
        <v>66</v>
      </c>
      <c r="J37" s="265" t="s">
        <v>66</v>
      </c>
      <c r="K37" s="266">
        <f>ROUND(D37/1000,0)</f>
        <v>1780</v>
      </c>
      <c r="L37" s="267" t="s">
        <v>66</v>
      </c>
      <c r="M37" s="268" t="s">
        <v>66</v>
      </c>
      <c r="N37" s="166">
        <v>618</v>
      </c>
      <c r="O37" s="81" t="str">
        <f t="shared" si="0"/>
        <v>            stipendijas</v>
      </c>
      <c r="P37" s="228">
        <f t="shared" si="1"/>
        <v>1780</v>
      </c>
      <c r="Q37" s="217">
        <f>'[6]Februāris'!K37</f>
        <v>1780</v>
      </c>
      <c r="R37" s="233">
        <f t="shared" si="5"/>
        <v>0</v>
      </c>
    </row>
    <row r="38" spans="1:18" s="271" customFormat="1" ht="13.5" customHeight="1">
      <c r="A38" s="259" t="s">
        <v>349</v>
      </c>
      <c r="B38" s="260" t="s">
        <v>66</v>
      </c>
      <c r="C38" s="260" t="s">
        <v>66</v>
      </c>
      <c r="D38" s="270">
        <v>2748650.07</v>
      </c>
      <c r="E38" s="262" t="s">
        <v>66</v>
      </c>
      <c r="F38" s="263" t="s">
        <v>66</v>
      </c>
      <c r="G38" s="209"/>
      <c r="H38" s="171" t="s">
        <v>350</v>
      </c>
      <c r="I38" s="265" t="s">
        <v>66</v>
      </c>
      <c r="J38" s="265" t="s">
        <v>66</v>
      </c>
      <c r="K38" s="266">
        <f>ROUND(D38/1000,0)</f>
        <v>2749</v>
      </c>
      <c r="L38" s="267" t="s">
        <v>66</v>
      </c>
      <c r="M38" s="268" t="s">
        <v>66</v>
      </c>
      <c r="N38" s="166">
        <v>894</v>
      </c>
      <c r="O38" s="81" t="str">
        <f t="shared" si="0"/>
        <v>      pārējie</v>
      </c>
      <c r="P38" s="228">
        <f t="shared" si="1"/>
        <v>2749</v>
      </c>
      <c r="Q38" s="217">
        <f>'[6]Februāris'!K38</f>
        <v>2749</v>
      </c>
      <c r="R38" s="233">
        <f t="shared" si="5"/>
        <v>0</v>
      </c>
    </row>
    <row r="39" spans="1:18" ht="13.5" customHeight="1">
      <c r="A39" s="217" t="s">
        <v>351</v>
      </c>
      <c r="B39" s="209">
        <v>5151122</v>
      </c>
      <c r="C39" s="209">
        <v>1510910</v>
      </c>
      <c r="D39" s="233">
        <v>1237628.34</v>
      </c>
      <c r="E39" s="200">
        <f>IF(ISERROR(D39/B39)," ",(D39/B39))</f>
        <v>0.24026383766488157</v>
      </c>
      <c r="F39" s="200">
        <f>IF(ISERROR(D39/C39)," ",(D39/C39))</f>
        <v>0.8191277706812451</v>
      </c>
      <c r="G39" s="209"/>
      <c r="H39" s="119" t="s">
        <v>351</v>
      </c>
      <c r="I39" s="272">
        <f>ROUND(B39/1000,0)</f>
        <v>5151</v>
      </c>
      <c r="J39" s="272">
        <f>ROUND(C39/1000,0)</f>
        <v>1511</v>
      </c>
      <c r="K39" s="243">
        <f>ROUND(D39/1000,0)</f>
        <v>1238</v>
      </c>
      <c r="L39" s="244">
        <f>IF(ISERROR(ROUND(K39,0)/ROUND(I39,0))," ",(ROUND(K39,)/ROUND(I39,)))</f>
        <v>0.2403416812269462</v>
      </c>
      <c r="M39" s="244">
        <f>IF(ISERROR(ROUND(K39,0)/ROUND(J39,0))," ",(ROUND(K39,)/ROUND(J39,)))</f>
        <v>0.8193249503639973</v>
      </c>
      <c r="N39" s="166">
        <f>K39-'[6]Februāris'!K39</f>
        <v>150</v>
      </c>
      <c r="O39" s="81" t="str">
        <f t="shared" si="0"/>
        <v>   iemaksas starptautiskajās organizācijās</v>
      </c>
      <c r="P39" s="228">
        <f t="shared" si="1"/>
        <v>1238</v>
      </c>
      <c r="Q39" s="217">
        <f>'[6]Februāris'!K39</f>
        <v>1088</v>
      </c>
      <c r="R39" s="233">
        <f t="shared" si="5"/>
        <v>150</v>
      </c>
    </row>
    <row r="40" spans="1:18" ht="15.75" customHeight="1">
      <c r="A40" s="273" t="s">
        <v>352</v>
      </c>
      <c r="B40" s="206">
        <f>B41+B42</f>
        <v>65529386</v>
      </c>
      <c r="C40" s="206">
        <v>10471328</v>
      </c>
      <c r="D40" s="249">
        <f>SUM(D41:D42)</f>
        <v>6578894.56</v>
      </c>
      <c r="E40" s="200">
        <f>IF(ISERROR(D40/B40)," ",(D40/B40))</f>
        <v>0.10039609649325876</v>
      </c>
      <c r="F40" s="200">
        <f>IF(ISERROR(D40/C40)," ",(D40/C40))</f>
        <v>0.6282770017327315</v>
      </c>
      <c r="G40" s="209"/>
      <c r="H40" s="146" t="s">
        <v>352</v>
      </c>
      <c r="I40" s="108">
        <f>SUM(I41:I42)</f>
        <v>65529</v>
      </c>
      <c r="J40" s="272">
        <f>ROUND(C40/1000,0)</f>
        <v>10471</v>
      </c>
      <c r="K40" s="108">
        <f>SUM(K41:K42)</f>
        <v>6579</v>
      </c>
      <c r="L40" s="232">
        <f>IF(ISERROR(ROUND(K40,0)/ROUND(I40,0))," ",(ROUND(K40,)/ROUND(I40,)))</f>
        <v>0.1003982969372339</v>
      </c>
      <c r="M40" s="232">
        <f>IF(ISERROR(ROUND(K40,0)/ROUND(J40,0))," ",(ROUND(K40,)/ROUND(J40,)))</f>
        <v>0.6283067519816636</v>
      </c>
      <c r="N40" s="166">
        <f>K40-'[6]Februāris'!K40</f>
        <v>2510</v>
      </c>
      <c r="O40" s="81" t="str">
        <f t="shared" si="0"/>
        <v>2.2.Izdevumi kapitālieguldījumiem</v>
      </c>
      <c r="P40" s="228">
        <f t="shared" si="1"/>
        <v>6579</v>
      </c>
      <c r="Q40" s="217">
        <f>'[6]Februāris'!K40</f>
        <v>4069</v>
      </c>
      <c r="R40" s="233">
        <f t="shared" si="5"/>
        <v>2510</v>
      </c>
    </row>
    <row r="41" spans="1:18" ht="13.5" customHeight="1">
      <c r="A41" s="274" t="s">
        <v>353</v>
      </c>
      <c r="B41" s="209">
        <v>24236583</v>
      </c>
      <c r="C41" s="209">
        <v>4026369</v>
      </c>
      <c r="D41" s="270">
        <f>1183798.49+300+10040.17+3813.56+17000+389908.74</f>
        <v>1604860.96</v>
      </c>
      <c r="E41" s="200" t="str">
        <f>IF(ISERROR(#REF!/B41)," ",(#REF!/B41))</f>
        <v> </v>
      </c>
      <c r="F41" s="200" t="str">
        <f>IF(ISERROR(#REF!/C41)," ",(#REF!/C41))</f>
        <v> </v>
      </c>
      <c r="G41" s="209"/>
      <c r="H41" s="275" t="s">
        <v>354</v>
      </c>
      <c r="I41" s="276">
        <f>ROUND(B41/1000,0)</f>
        <v>24237</v>
      </c>
      <c r="J41" s="272">
        <f>ROUND(C41/1000,0)</f>
        <v>4026</v>
      </c>
      <c r="K41" s="243">
        <f>ROUND(D41/1000,0)</f>
        <v>1605</v>
      </c>
      <c r="L41" s="244">
        <f>IF(ISERROR(ROUND(K41,0)/ROUND(I41,0))," ",(ROUND(K41,)/ROUND(I41,)))</f>
        <v>0.06622106696373313</v>
      </c>
      <c r="M41" s="244">
        <f>IF(ISERROR(ROUND(K41,0)/ROUND(J41,0))," ",(ROUND(K41,)/ROUND(J41,)))</f>
        <v>0.3986587183308495</v>
      </c>
      <c r="N41" s="166">
        <f>K41-'[6]Februāris'!K41</f>
        <v>752</v>
      </c>
      <c r="O41" s="81" t="str">
        <f t="shared" si="0"/>
        <v>Kapitālie izdevumi</v>
      </c>
      <c r="P41" s="228">
        <f t="shared" si="1"/>
        <v>1605</v>
      </c>
      <c r="Q41" s="217">
        <f>'[6]Februāris'!K41</f>
        <v>853</v>
      </c>
      <c r="R41" s="233">
        <f t="shared" si="5"/>
        <v>752</v>
      </c>
    </row>
    <row r="42" spans="1:18" ht="13.5" customHeight="1">
      <c r="A42" s="217" t="s">
        <v>355</v>
      </c>
      <c r="B42" s="209">
        <v>41292803</v>
      </c>
      <c r="C42" s="209">
        <v>6444959</v>
      </c>
      <c r="D42" s="31">
        <f>4968351.6+5682</f>
        <v>4974033.6</v>
      </c>
      <c r="E42" s="200">
        <f>IF(ISERROR(D41/B42)," ",(D41/B42))</f>
        <v>0.038865391627688727</v>
      </c>
      <c r="F42" s="200">
        <f>IF(ISERROR(D41/C42)," ",(D41/C42))</f>
        <v>0.2490102667836987</v>
      </c>
      <c r="G42" s="209"/>
      <c r="H42" s="119" t="s">
        <v>356</v>
      </c>
      <c r="I42" s="276">
        <f>ROUND(B42/1000,0)-1</f>
        <v>41292</v>
      </c>
      <c r="J42" s="272">
        <f>ROUND(C42/1000,0)</f>
        <v>6445</v>
      </c>
      <c r="K42" s="243">
        <f>ROUND(D42/1000,0)</f>
        <v>4974</v>
      </c>
      <c r="L42" s="244">
        <f>IF(ISERROR(ROUND(K42,0)/ROUND(I42,0))," ",(ROUND(K42,)/ROUND(I42,)))</f>
        <v>0.12045916884626562</v>
      </c>
      <c r="M42" s="244">
        <f>IF(ISERROR(ROUND(K42,0)/ROUND(J42,0))," ",(ROUND(K42,)/ROUND(J42,)))</f>
        <v>0.7717610550814585</v>
      </c>
      <c r="N42" s="166">
        <f>K42-'[6]Februāris'!K42</f>
        <v>1758</v>
      </c>
      <c r="O42" s="81" t="str">
        <f t="shared" si="0"/>
        <v>Investīcijas</v>
      </c>
      <c r="P42" s="228">
        <f t="shared" si="1"/>
        <v>4974</v>
      </c>
      <c r="Q42" s="217">
        <f>'[6]Februāris'!K42</f>
        <v>3216</v>
      </c>
      <c r="R42" s="233">
        <f t="shared" si="5"/>
        <v>1758</v>
      </c>
    </row>
    <row r="43" spans="1:18" ht="13.5" customHeight="1">
      <c r="A43" s="217" t="s">
        <v>357</v>
      </c>
      <c r="B43" s="251" t="s">
        <v>66</v>
      </c>
      <c r="C43" s="251" t="s">
        <v>66</v>
      </c>
      <c r="D43" s="270">
        <v>87500</v>
      </c>
      <c r="E43" s="277" t="s">
        <v>66</v>
      </c>
      <c r="F43" s="277" t="s">
        <v>66</v>
      </c>
      <c r="G43" s="209"/>
      <c r="H43" s="119" t="s">
        <v>357</v>
      </c>
      <c r="I43" s="278" t="s">
        <v>66</v>
      </c>
      <c r="J43" s="278" t="s">
        <v>66</v>
      </c>
      <c r="K43" s="243">
        <f>ROUND(D43/1000,0)</f>
        <v>88</v>
      </c>
      <c r="L43" s="279" t="s">
        <v>66</v>
      </c>
      <c r="M43" s="279" t="s">
        <v>66</v>
      </c>
      <c r="N43" s="166">
        <f>K43-'[6]Februāris'!K43</f>
        <v>25</v>
      </c>
      <c r="O43" s="81" t="str">
        <f t="shared" si="0"/>
        <v>t.sk. speciālajam budžetam</v>
      </c>
      <c r="P43" s="228">
        <f t="shared" si="1"/>
        <v>88</v>
      </c>
      <c r="Q43" s="217">
        <f>'[6]Februāris'!K43</f>
        <v>63</v>
      </c>
      <c r="R43" s="233">
        <f t="shared" si="5"/>
        <v>25</v>
      </c>
    </row>
    <row r="44" spans="1:18" ht="13.5" customHeight="1">
      <c r="A44" s="217" t="s">
        <v>358</v>
      </c>
      <c r="B44" s="251" t="s">
        <v>139</v>
      </c>
      <c r="C44" s="251" t="s">
        <v>139</v>
      </c>
      <c r="D44" s="270">
        <v>540063.18</v>
      </c>
      <c r="E44" s="277" t="s">
        <v>66</v>
      </c>
      <c r="F44" s="277" t="s">
        <v>66</v>
      </c>
      <c r="G44" s="209"/>
      <c r="H44" s="119" t="s">
        <v>358</v>
      </c>
      <c r="I44" s="278" t="s">
        <v>66</v>
      </c>
      <c r="J44" s="278" t="s">
        <v>66</v>
      </c>
      <c r="K44" s="243">
        <f>ROUND(D44/1000,0)</f>
        <v>540</v>
      </c>
      <c r="L44" s="279" t="s">
        <v>66</v>
      </c>
      <c r="M44" s="279" t="s">
        <v>66</v>
      </c>
      <c r="N44" s="166">
        <f>K44-'[6]Februāris'!K44</f>
        <v>249</v>
      </c>
      <c r="O44" s="81" t="str">
        <f t="shared" si="0"/>
        <v>t.sk. pašvaldību budžetam</v>
      </c>
      <c r="P44" s="228">
        <f t="shared" si="1"/>
        <v>540</v>
      </c>
      <c r="Q44" s="217">
        <f>'[6]Februāris'!K44</f>
        <v>291</v>
      </c>
      <c r="R44" s="233">
        <f t="shared" si="5"/>
        <v>249</v>
      </c>
    </row>
    <row r="45" spans="1:18" ht="15.75" customHeight="1">
      <c r="A45" s="129" t="s">
        <v>359</v>
      </c>
      <c r="B45" s="280">
        <v>55987963</v>
      </c>
      <c r="C45" s="251" t="s">
        <v>66</v>
      </c>
      <c r="D45" s="281">
        <f>SUM(D46-D48)</f>
        <v>18457035</v>
      </c>
      <c r="E45" s="252" t="s">
        <v>66</v>
      </c>
      <c r="F45" s="253" t="s">
        <v>66</v>
      </c>
      <c r="G45" s="209"/>
      <c r="H45" s="126" t="s">
        <v>359</v>
      </c>
      <c r="I45" s="282">
        <v>55987</v>
      </c>
      <c r="J45" s="254" t="s">
        <v>66</v>
      </c>
      <c r="K45" s="231">
        <f>K46-K48</f>
        <v>18457.103</v>
      </c>
      <c r="L45" s="255" t="s">
        <v>66</v>
      </c>
      <c r="M45" s="256" t="s">
        <v>66</v>
      </c>
      <c r="N45" s="166">
        <f>K45-'[6]Februāris'!K45-1</f>
        <v>4101.102999999999</v>
      </c>
      <c r="O45" s="81" t="str">
        <f t="shared" si="0"/>
        <v>3. Valsts budžeta tīrie aizdevumi (3.1.-3.2.)</v>
      </c>
      <c r="P45" s="228">
        <f t="shared" si="1"/>
        <v>18457.103</v>
      </c>
      <c r="Q45" s="217">
        <f>'[6]Februāris'!K45</f>
        <v>14355</v>
      </c>
      <c r="R45" s="233">
        <f t="shared" si="5"/>
        <v>4102.102999999999</v>
      </c>
    </row>
    <row r="46" spans="1:18" ht="13.5" customHeight="1">
      <c r="A46" s="81" t="s">
        <v>360</v>
      </c>
      <c r="B46" s="233">
        <v>73631361</v>
      </c>
      <c r="C46" s="251" t="s">
        <v>66</v>
      </c>
      <c r="D46" s="283">
        <v>29117103</v>
      </c>
      <c r="E46" s="200"/>
      <c r="F46" s="200"/>
      <c r="G46" s="209"/>
      <c r="H46" s="67" t="s">
        <v>360</v>
      </c>
      <c r="I46" s="284"/>
      <c r="J46" s="143" t="s">
        <v>66</v>
      </c>
      <c r="K46" s="243">
        <f>D46/1000</f>
        <v>29117.103</v>
      </c>
      <c r="L46" s="255" t="s">
        <v>66</v>
      </c>
      <c r="M46" s="256" t="s">
        <v>66</v>
      </c>
      <c r="N46" s="166">
        <f>K46-'[6]Februāris'!K46</f>
        <v>6622.102999999999</v>
      </c>
      <c r="O46" s="81" t="str">
        <f t="shared" si="0"/>
        <v>3.1.Valsts budžeta aizdevumi</v>
      </c>
      <c r="P46" s="228">
        <f t="shared" si="1"/>
        <v>29117.103</v>
      </c>
      <c r="Q46" s="217">
        <f>'[6]Februāris'!K46</f>
        <v>22495</v>
      </c>
      <c r="R46" s="233">
        <f t="shared" si="5"/>
        <v>6622.102999999999</v>
      </c>
    </row>
    <row r="47" spans="1:18" ht="13.5" customHeight="1">
      <c r="A47" s="81" t="s">
        <v>361</v>
      </c>
      <c r="B47" s="233">
        <v>48228571</v>
      </c>
      <c r="C47" s="251" t="s">
        <v>66</v>
      </c>
      <c r="D47" s="283">
        <v>24246363</v>
      </c>
      <c r="E47" s="200"/>
      <c r="F47" s="200"/>
      <c r="G47" s="209"/>
      <c r="H47" s="67" t="s">
        <v>361</v>
      </c>
      <c r="I47" s="284"/>
      <c r="J47" s="143" t="s">
        <v>66</v>
      </c>
      <c r="K47" s="243">
        <f>D47/1000</f>
        <v>24246.363</v>
      </c>
      <c r="L47" s="255" t="s">
        <v>66</v>
      </c>
      <c r="M47" s="256" t="s">
        <v>66</v>
      </c>
      <c r="N47" s="166">
        <f>K47-'[6]Februāris'!K47</f>
        <v>6222.363000000001</v>
      </c>
      <c r="O47" s="81" t="str">
        <f t="shared" si="0"/>
        <v>t.sk.speciālajam budžetam</v>
      </c>
      <c r="P47" s="228">
        <f t="shared" si="1"/>
        <v>24246.363</v>
      </c>
      <c r="Q47" s="217">
        <f>'[6]Februāris'!K47</f>
        <v>18024</v>
      </c>
      <c r="R47" s="233">
        <f t="shared" si="5"/>
        <v>6222.363000000001</v>
      </c>
    </row>
    <row r="48" spans="1:18" ht="13.5" customHeight="1">
      <c r="A48" s="285" t="s">
        <v>362</v>
      </c>
      <c r="B48" s="233">
        <v>17643398</v>
      </c>
      <c r="C48" s="251" t="s">
        <v>66</v>
      </c>
      <c r="D48" s="283">
        <v>10660068</v>
      </c>
      <c r="E48" s="200"/>
      <c r="F48" s="251" t="s">
        <v>66</v>
      </c>
      <c r="G48" s="209"/>
      <c r="H48" s="286" t="s">
        <v>362</v>
      </c>
      <c r="I48" s="284"/>
      <c r="J48" s="287" t="s">
        <v>66</v>
      </c>
      <c r="K48" s="243">
        <v>10660</v>
      </c>
      <c r="L48" s="255" t="s">
        <v>66</v>
      </c>
      <c r="M48" s="255" t="s">
        <v>66</v>
      </c>
      <c r="N48" s="166">
        <f>K48-'[6]Februāris'!K48-1</f>
        <v>2520</v>
      </c>
      <c r="O48" s="81" t="str">
        <f t="shared" si="0"/>
        <v>3.2.Valsts budžeta aizdevumu atmaksas</v>
      </c>
      <c r="P48" s="228">
        <f t="shared" si="1"/>
        <v>10660</v>
      </c>
      <c r="Q48" s="217">
        <f>'[6]Februāris'!K48</f>
        <v>8139</v>
      </c>
      <c r="R48" s="233">
        <f t="shared" si="5"/>
        <v>2521</v>
      </c>
    </row>
    <row r="49" spans="1:18" ht="13.5" customHeight="1">
      <c r="A49" s="81" t="s">
        <v>363</v>
      </c>
      <c r="B49" s="233"/>
      <c r="C49" s="81"/>
      <c r="D49" s="81">
        <v>1360685</v>
      </c>
      <c r="E49" s="81"/>
      <c r="F49" s="81"/>
      <c r="G49" s="209"/>
      <c r="H49" s="67" t="s">
        <v>363</v>
      </c>
      <c r="I49" s="67"/>
      <c r="J49" s="67"/>
      <c r="K49" s="243">
        <v>1360</v>
      </c>
      <c r="L49" s="288"/>
      <c r="M49" s="288"/>
      <c r="N49" s="166">
        <f>K49-'[6]Februāris'!K49</f>
        <v>227</v>
      </c>
      <c r="O49" s="81" t="str">
        <f t="shared" si="0"/>
        <v>t.sk. no speciālā budžeta</v>
      </c>
      <c r="P49" s="228">
        <f t="shared" si="1"/>
        <v>1360</v>
      </c>
      <c r="Q49" s="217">
        <f>'[6]Februāris'!K49</f>
        <v>1133</v>
      </c>
      <c r="R49" s="233">
        <f t="shared" si="5"/>
        <v>227</v>
      </c>
    </row>
    <row r="50" spans="1:18" ht="13.5" customHeight="1">
      <c r="A50" s="81" t="s">
        <v>364</v>
      </c>
      <c r="B50" s="31">
        <f>-B51</f>
        <v>-78303583</v>
      </c>
      <c r="C50" s="252" t="s">
        <v>66</v>
      </c>
      <c r="D50" s="30">
        <f>D11-D17-D45</f>
        <v>-8310308.359999955</v>
      </c>
      <c r="E50" s="252" t="s">
        <v>66</v>
      </c>
      <c r="F50" s="252" t="s">
        <v>66</v>
      </c>
      <c r="G50" s="209"/>
      <c r="H50" s="67" t="s">
        <v>364</v>
      </c>
      <c r="I50" s="284">
        <f>-I51</f>
        <v>-78303</v>
      </c>
      <c r="J50" s="289" t="s">
        <v>66</v>
      </c>
      <c r="K50" s="212">
        <f>(K11-K17-K45)</f>
        <v>-9104.104559999974</v>
      </c>
      <c r="L50" s="255" t="s">
        <v>66</v>
      </c>
      <c r="M50" s="255" t="s">
        <v>66</v>
      </c>
      <c r="N50" s="166">
        <f>N11-N17-N45</f>
        <v>-3322.102999999999</v>
      </c>
      <c r="O50" s="81" t="str">
        <f t="shared" si="0"/>
        <v>Fiskālā bilance </v>
      </c>
      <c r="P50" s="228">
        <f t="shared" si="1"/>
        <v>-9104.104559999974</v>
      </c>
      <c r="Q50" s="217">
        <f>'[6]Februāris'!K50</f>
        <v>-11778</v>
      </c>
      <c r="R50" s="233">
        <f t="shared" si="5"/>
        <v>2673.8954400000257</v>
      </c>
    </row>
    <row r="51" spans="1:18" ht="13.5" customHeight="1">
      <c r="A51" s="186" t="s">
        <v>365</v>
      </c>
      <c r="B51" s="233">
        <f>B52+B53+B54</f>
        <v>78303583</v>
      </c>
      <c r="C51" s="290"/>
      <c r="D51" s="30">
        <f>-D50</f>
        <v>8310308.359999955</v>
      </c>
      <c r="F51" s="291"/>
      <c r="G51" s="209"/>
      <c r="H51" s="163" t="s">
        <v>365</v>
      </c>
      <c r="I51" s="284">
        <f>I52+I53+I54</f>
        <v>78303</v>
      </c>
      <c r="J51" s="289" t="s">
        <v>66</v>
      </c>
      <c r="K51" s="212">
        <f>-K50</f>
        <v>9104.104559999974</v>
      </c>
      <c r="L51" s="255" t="s">
        <v>66</v>
      </c>
      <c r="M51" s="255" t="s">
        <v>66</v>
      </c>
      <c r="N51" s="166">
        <f>-N50</f>
        <v>3322.102999999999</v>
      </c>
      <c r="O51" s="81" t="str">
        <f t="shared" si="0"/>
        <v>Finansēšana</v>
      </c>
      <c r="P51" s="228">
        <f t="shared" si="1"/>
        <v>9104.104559999974</v>
      </c>
      <c r="Q51" s="217">
        <f>'[6]Februāris'!K51</f>
        <v>11778</v>
      </c>
      <c r="R51" s="233">
        <f t="shared" si="5"/>
        <v>-2673.8954400000257</v>
      </c>
    </row>
    <row r="52" spans="1:18" ht="13.5" customHeight="1">
      <c r="A52" s="292" t="s">
        <v>366</v>
      </c>
      <c r="B52" s="233">
        <v>30350000</v>
      </c>
      <c r="C52" s="252" t="s">
        <v>66</v>
      </c>
      <c r="D52" s="81">
        <v>0</v>
      </c>
      <c r="E52" s="252" t="s">
        <v>66</v>
      </c>
      <c r="F52" s="252" t="s">
        <v>66</v>
      </c>
      <c r="G52" s="209"/>
      <c r="H52" s="145" t="s">
        <v>366</v>
      </c>
      <c r="I52" s="276">
        <f>ROUND(B52/1000,0)</f>
        <v>30350</v>
      </c>
      <c r="J52" s="289" t="s">
        <v>66</v>
      </c>
      <c r="K52" s="212">
        <f>D52/1000</f>
        <v>0</v>
      </c>
      <c r="L52" s="255" t="s">
        <v>66</v>
      </c>
      <c r="M52" s="255" t="s">
        <v>66</v>
      </c>
      <c r="N52" s="166">
        <f>K52-'[6]Februāris'!K52</f>
        <v>0</v>
      </c>
      <c r="O52" s="81" t="str">
        <f t="shared" si="0"/>
        <v>ieņēmumi no valsts īpašuma privatizācijas</v>
      </c>
      <c r="P52" s="228">
        <f t="shared" si="1"/>
        <v>0</v>
      </c>
      <c r="Q52" s="217">
        <f>'[6]Februāris'!K52</f>
        <v>0</v>
      </c>
      <c r="R52" s="233">
        <f t="shared" si="5"/>
        <v>0</v>
      </c>
    </row>
    <row r="53" spans="1:18" ht="13.5" customHeight="1">
      <c r="A53" s="292" t="s">
        <v>367</v>
      </c>
      <c r="B53" s="233">
        <v>500000</v>
      </c>
      <c r="C53" s="252" t="s">
        <v>66</v>
      </c>
      <c r="D53" s="81">
        <v>28</v>
      </c>
      <c r="E53" s="252" t="s">
        <v>66</v>
      </c>
      <c r="F53" s="252" t="s">
        <v>66</v>
      </c>
      <c r="G53" s="209"/>
      <c r="H53" s="145" t="s">
        <v>367</v>
      </c>
      <c r="I53" s="276">
        <f>ROUND(B53/1000,0)</f>
        <v>500</v>
      </c>
      <c r="J53" s="289" t="s">
        <v>66</v>
      </c>
      <c r="K53" s="212">
        <f>D53</f>
        <v>28</v>
      </c>
      <c r="L53" s="255" t="s">
        <v>66</v>
      </c>
      <c r="M53" s="255" t="s">
        <v>66</v>
      </c>
      <c r="N53" s="166">
        <f>K53-'[6]Februāris'!K53</f>
        <v>0</v>
      </c>
      <c r="O53" s="81" t="str">
        <f t="shared" si="0"/>
        <v>ieņēmumi no valsts īpašuma pārdošanas </v>
      </c>
      <c r="P53" s="228">
        <f t="shared" si="1"/>
        <v>28</v>
      </c>
      <c r="Q53" s="217">
        <f>'[6]Februāris'!K53</f>
        <v>28</v>
      </c>
      <c r="R53" s="233">
        <f t="shared" si="5"/>
        <v>0</v>
      </c>
    </row>
    <row r="54" spans="1:18" ht="13.5" customHeight="1">
      <c r="A54" s="81" t="s">
        <v>368</v>
      </c>
      <c r="B54" s="233">
        <v>47453583</v>
      </c>
      <c r="C54" s="252" t="s">
        <v>66</v>
      </c>
      <c r="D54" s="209">
        <f>D51-D52-D53</f>
        <v>8310280.359999955</v>
      </c>
      <c r="E54" s="252" t="s">
        <v>66</v>
      </c>
      <c r="F54" s="252" t="s">
        <v>66</v>
      </c>
      <c r="G54" s="209"/>
      <c r="H54" s="67" t="s">
        <v>368</v>
      </c>
      <c r="I54" s="276">
        <f>ROUND(B54/1000,0)-1</f>
        <v>47453</v>
      </c>
      <c r="J54" s="289" t="s">
        <v>66</v>
      </c>
      <c r="K54" s="212">
        <f>K51-K52-K53</f>
        <v>9076.104559999974</v>
      </c>
      <c r="L54" s="255" t="s">
        <v>66</v>
      </c>
      <c r="M54" s="255" t="s">
        <v>66</v>
      </c>
      <c r="N54" s="166">
        <f>N51-N52-N53</f>
        <v>3322.102999999999</v>
      </c>
      <c r="O54" s="81" t="str">
        <f t="shared" si="0"/>
        <v>citi finansēšanas avoti </v>
      </c>
      <c r="P54" s="228">
        <f t="shared" si="1"/>
        <v>9076.104559999974</v>
      </c>
      <c r="Q54" s="217">
        <f>'[6]Februāris'!K54</f>
        <v>11750</v>
      </c>
      <c r="R54" s="233">
        <f t="shared" si="5"/>
        <v>-2673.8954400000257</v>
      </c>
    </row>
    <row r="55" spans="8:14" ht="12.75">
      <c r="H55" s="293"/>
      <c r="I55" s="293"/>
      <c r="J55" s="293"/>
      <c r="K55" s="293"/>
      <c r="L55" s="293"/>
      <c r="M55" s="293"/>
      <c r="N55" s="293"/>
    </row>
    <row r="56" spans="8:14" ht="12.75">
      <c r="H56" s="81"/>
      <c r="I56" s="81"/>
      <c r="J56" s="81"/>
      <c r="K56" s="81"/>
      <c r="L56" s="81"/>
      <c r="M56" s="81"/>
      <c r="N56" s="81"/>
    </row>
    <row r="57" spans="8:14" ht="12.75">
      <c r="H57" s="81"/>
      <c r="I57" s="81"/>
      <c r="J57" s="81"/>
      <c r="K57" s="81"/>
      <c r="L57" s="81"/>
      <c r="M57" s="81"/>
      <c r="N57" s="81"/>
    </row>
    <row r="58" spans="8:14" ht="12.75">
      <c r="H58" s="81"/>
      <c r="I58" s="81"/>
      <c r="J58" s="81"/>
      <c r="K58" s="81"/>
      <c r="L58" s="81"/>
      <c r="M58" s="81"/>
      <c r="N58" s="81"/>
    </row>
    <row r="59" spans="8:14" ht="12.75">
      <c r="H59" s="81"/>
      <c r="I59" s="81"/>
      <c r="J59" s="81"/>
      <c r="K59" s="81"/>
      <c r="L59" s="81"/>
      <c r="M59" s="81"/>
      <c r="N59" s="81"/>
    </row>
    <row r="60" spans="8:14" ht="12.75">
      <c r="H60" s="81"/>
      <c r="I60" s="81"/>
      <c r="J60" s="81"/>
      <c r="K60" s="81"/>
      <c r="L60" s="81"/>
      <c r="M60" s="81"/>
      <c r="N60" s="81"/>
    </row>
    <row r="61" spans="1:14" ht="12.75">
      <c r="A61" s="37" t="s">
        <v>369</v>
      </c>
      <c r="H61" s="186" t="s">
        <v>369</v>
      </c>
      <c r="I61" s="81"/>
      <c r="J61" s="81"/>
      <c r="K61" s="81"/>
      <c r="L61" s="81"/>
      <c r="M61" s="81"/>
      <c r="N61" s="81"/>
    </row>
    <row r="62" spans="8:14" ht="12.75">
      <c r="H62" s="81"/>
      <c r="I62" s="81"/>
      <c r="J62" s="81"/>
      <c r="K62" s="81"/>
      <c r="L62" s="81"/>
      <c r="M62" s="81"/>
      <c r="N62" s="81"/>
    </row>
    <row r="63" spans="8:14" ht="12.75">
      <c r="H63" s="81"/>
      <c r="I63" s="81"/>
      <c r="J63" s="81"/>
      <c r="K63" s="81"/>
      <c r="L63" s="81"/>
      <c r="M63" s="81"/>
      <c r="N63" s="81"/>
    </row>
    <row r="64" spans="8:14" ht="12.75">
      <c r="H64" s="81"/>
      <c r="I64" s="81"/>
      <c r="J64" s="81"/>
      <c r="K64" s="81"/>
      <c r="L64" s="81"/>
      <c r="M64" s="81"/>
      <c r="N64" s="81"/>
    </row>
    <row r="65" spans="8:14" ht="12.75">
      <c r="H65" s="81"/>
      <c r="I65" s="81"/>
      <c r="J65" s="81"/>
      <c r="K65" s="81"/>
      <c r="L65" s="81"/>
      <c r="M65" s="81"/>
      <c r="N65" s="81"/>
    </row>
    <row r="66" spans="8:14" ht="12.75">
      <c r="H66" s="81"/>
      <c r="I66" s="81"/>
      <c r="J66" s="81"/>
      <c r="K66" s="81"/>
      <c r="L66" s="81"/>
      <c r="M66" s="81"/>
      <c r="N66" s="81"/>
    </row>
    <row r="67" spans="8:14" ht="13.5" customHeight="1">
      <c r="H67" s="81"/>
      <c r="I67" s="81"/>
      <c r="J67" s="81"/>
      <c r="K67" s="81"/>
      <c r="L67" s="81"/>
      <c r="M67" s="81"/>
      <c r="N67" s="81"/>
    </row>
    <row r="68" spans="8:14" ht="12.75">
      <c r="H68" s="81"/>
      <c r="I68" s="81"/>
      <c r="J68" s="81"/>
      <c r="K68" s="81"/>
      <c r="L68" s="81"/>
      <c r="M68" s="81"/>
      <c r="N68" s="81"/>
    </row>
    <row r="69" spans="8:14" ht="12.75">
      <c r="H69" s="81"/>
      <c r="I69" s="81"/>
      <c r="J69" s="81"/>
      <c r="K69" s="81"/>
      <c r="L69" s="81"/>
      <c r="M69" s="81"/>
      <c r="N69" s="81"/>
    </row>
    <row r="70" spans="1:14" ht="12.75">
      <c r="A70" s="44" t="s">
        <v>142</v>
      </c>
      <c r="I70" s="81"/>
      <c r="J70" s="81"/>
      <c r="K70" s="81"/>
      <c r="L70" s="81"/>
      <c r="M70" s="81"/>
      <c r="N70" s="81"/>
    </row>
    <row r="71" spans="1:14" ht="12.75">
      <c r="A71" s="44" t="s">
        <v>370</v>
      </c>
      <c r="I71" s="81"/>
      <c r="J71" s="81"/>
      <c r="K71" s="81"/>
      <c r="L71" s="81"/>
      <c r="M71" s="81"/>
      <c r="N71" s="81"/>
    </row>
    <row r="72" spans="8:14" ht="12.75">
      <c r="H72" s="81"/>
      <c r="I72" s="81"/>
      <c r="J72" s="81"/>
      <c r="K72" s="81"/>
      <c r="L72" s="81"/>
      <c r="M72" s="81"/>
      <c r="N72" s="81"/>
    </row>
    <row r="73" spans="9:14" ht="12.75">
      <c r="I73" s="81"/>
      <c r="J73" s="81"/>
      <c r="K73" s="81"/>
      <c r="L73" s="81"/>
      <c r="M73" s="81"/>
      <c r="N73" s="81"/>
    </row>
    <row r="74" spans="9:14" ht="12.75">
      <c r="I74" s="81"/>
      <c r="J74" s="81"/>
      <c r="K74" s="81"/>
      <c r="L74" s="81"/>
      <c r="M74" s="81"/>
      <c r="N74" s="81"/>
    </row>
    <row r="76" ht="12.75">
      <c r="H76" s="81" t="s">
        <v>142</v>
      </c>
    </row>
    <row r="77" ht="12.75">
      <c r="H77" s="81" t="s">
        <v>101</v>
      </c>
    </row>
  </sheetData>
  <printOptions/>
  <pageMargins left="0.24" right="0.17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7"/>
  <sheetViews>
    <sheetView workbookViewId="0" topLeftCell="G1">
      <selection activeCell="O216" sqref="O216"/>
    </sheetView>
  </sheetViews>
  <sheetFormatPr defaultColWidth="9.140625" defaultRowHeight="12.75"/>
  <cols>
    <col min="1" max="1" width="43.28125" style="0" hidden="1" customWidth="1"/>
    <col min="2" max="2" width="14.7109375" style="0" hidden="1" customWidth="1"/>
    <col min="3" max="4" width="13.57421875" style="0" hidden="1" customWidth="1"/>
    <col min="5" max="5" width="9.140625" style="0" hidden="1" customWidth="1"/>
    <col min="6" max="6" width="12.00390625" style="0" hidden="1" customWidth="1"/>
    <col min="7" max="7" width="45.7109375" style="0" customWidth="1"/>
    <col min="8" max="8" width="12.421875" style="0" customWidth="1"/>
    <col min="9" max="9" width="12.28125" style="0" customWidth="1"/>
    <col min="10" max="11" width="10.8515625" style="0" customWidth="1"/>
    <col min="12" max="12" width="10.421875" style="0" customWidth="1"/>
  </cols>
  <sheetData>
    <row r="1" spans="1:12" ht="12.75">
      <c r="A1" s="294"/>
      <c r="B1" s="294"/>
      <c r="C1" s="294"/>
      <c r="D1" s="294"/>
      <c r="E1" s="294"/>
      <c r="F1" s="294" t="s">
        <v>371</v>
      </c>
      <c r="G1" s="295"/>
      <c r="H1" s="295"/>
      <c r="I1" s="295"/>
      <c r="J1" s="295"/>
      <c r="K1" s="295"/>
      <c r="L1" s="294" t="s">
        <v>371</v>
      </c>
    </row>
    <row r="2" spans="1:12" ht="12.75">
      <c r="A2" s="32" t="s">
        <v>223</v>
      </c>
      <c r="B2" s="32"/>
      <c r="C2" s="32"/>
      <c r="D2" s="32"/>
      <c r="E2" s="32"/>
      <c r="F2" s="294"/>
      <c r="G2" s="691" t="s">
        <v>146</v>
      </c>
      <c r="H2" s="691"/>
      <c r="I2" s="691"/>
      <c r="J2" s="691"/>
      <c r="K2" s="691"/>
      <c r="L2" s="691"/>
    </row>
    <row r="3" spans="1:12" ht="12.75">
      <c r="A3" s="32"/>
      <c r="B3" s="32"/>
      <c r="C3" s="32"/>
      <c r="D3" s="32"/>
      <c r="E3" s="32"/>
      <c r="F3" s="294"/>
      <c r="G3" s="295"/>
      <c r="H3" s="295"/>
      <c r="I3" s="295"/>
      <c r="J3" s="295"/>
      <c r="K3" s="295"/>
      <c r="L3" s="295"/>
    </row>
    <row r="4" spans="1:12" ht="18">
      <c r="A4" s="692" t="s">
        <v>372</v>
      </c>
      <c r="B4" s="692"/>
      <c r="C4" s="692"/>
      <c r="D4" s="692"/>
      <c r="E4" s="692"/>
      <c r="F4" s="692"/>
      <c r="G4" s="697" t="s">
        <v>372</v>
      </c>
      <c r="H4" s="697"/>
      <c r="I4" s="697"/>
      <c r="J4" s="697"/>
      <c r="K4" s="697"/>
      <c r="L4" s="697"/>
    </row>
    <row r="5" spans="1:12" ht="18">
      <c r="A5" s="692" t="s">
        <v>373</v>
      </c>
      <c r="B5" s="692"/>
      <c r="C5" s="692"/>
      <c r="D5" s="692"/>
      <c r="E5" s="692"/>
      <c r="F5" s="692"/>
      <c r="G5" s="697" t="s">
        <v>373</v>
      </c>
      <c r="H5" s="697"/>
      <c r="I5" s="697"/>
      <c r="J5" s="697"/>
      <c r="K5" s="697"/>
      <c r="L5" s="697"/>
    </row>
    <row r="6" spans="1:12" ht="18">
      <c r="A6" s="105"/>
      <c r="B6" s="105"/>
      <c r="C6" s="105"/>
      <c r="D6" s="105"/>
      <c r="E6" s="105"/>
      <c r="F6" s="105"/>
      <c r="G6" s="296"/>
      <c r="H6" s="296"/>
      <c r="I6" s="296"/>
      <c r="J6" s="296"/>
      <c r="K6" s="296"/>
      <c r="L6" s="296"/>
    </row>
    <row r="7" spans="1:12" ht="15.7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ht="12.75">
      <c r="A8" s="297"/>
      <c r="B8" s="294"/>
      <c r="C8" s="294"/>
      <c r="D8" s="294"/>
      <c r="E8" s="294"/>
      <c r="F8" s="294" t="s">
        <v>374</v>
      </c>
      <c r="G8" s="295"/>
      <c r="H8" s="295"/>
      <c r="I8" s="295"/>
      <c r="J8" s="295"/>
      <c r="K8" s="295"/>
      <c r="L8" s="294" t="s">
        <v>375</v>
      </c>
    </row>
    <row r="9" spans="1:12" ht="51" customHeight="1">
      <c r="A9" s="140" t="s">
        <v>59</v>
      </c>
      <c r="B9" s="140" t="s">
        <v>110</v>
      </c>
      <c r="C9" s="140" t="s">
        <v>312</v>
      </c>
      <c r="D9" s="140" t="s">
        <v>112</v>
      </c>
      <c r="E9" s="140" t="s">
        <v>376</v>
      </c>
      <c r="F9" s="298" t="s">
        <v>377</v>
      </c>
      <c r="G9" s="140" t="s">
        <v>59</v>
      </c>
      <c r="H9" s="140" t="s">
        <v>110</v>
      </c>
      <c r="I9" s="140" t="s">
        <v>378</v>
      </c>
      <c r="J9" s="140" t="s">
        <v>112</v>
      </c>
      <c r="K9" s="140" t="s">
        <v>376</v>
      </c>
      <c r="L9" s="140" t="s">
        <v>377</v>
      </c>
    </row>
    <row r="10" spans="1:12" ht="12.75">
      <c r="A10" s="142">
        <v>1</v>
      </c>
      <c r="B10" s="143">
        <v>2</v>
      </c>
      <c r="C10" s="145">
        <v>3</v>
      </c>
      <c r="D10" s="145">
        <v>4</v>
      </c>
      <c r="E10" s="145">
        <v>5</v>
      </c>
      <c r="F10" s="299">
        <v>6</v>
      </c>
      <c r="G10" s="142">
        <v>1</v>
      </c>
      <c r="H10" s="143">
        <v>2</v>
      </c>
      <c r="I10" s="145">
        <v>3</v>
      </c>
      <c r="J10" s="145">
        <v>4</v>
      </c>
      <c r="K10" s="145">
        <v>5</v>
      </c>
      <c r="L10" s="142">
        <v>6</v>
      </c>
    </row>
    <row r="11" spans="1:12" ht="12.75">
      <c r="A11" s="26" t="s">
        <v>379</v>
      </c>
      <c r="B11" s="248">
        <f>SUM(+B21+B28+B34+B40+B47+B58+B66+B77+B84+B90+B100+B156+B164+B170+B177)</f>
        <v>699762222</v>
      </c>
      <c r="C11" s="6">
        <f>SUM(+C21+C28+C34+C40+C47+C58+C66+C77+C84+C90+C100+C156+C164+C170+C177)</f>
        <v>162481777</v>
      </c>
      <c r="D11" s="6">
        <f>SUM(+D21+D28+D34+D40+D47+D58+D66+D77+D84+D90+D100+D156+D164+D170+D177)</f>
        <v>159901119</v>
      </c>
      <c r="E11" s="300">
        <f>IF(ISERROR(D11/B11)," ",(D11/B11))</f>
        <v>0.22850779017904743</v>
      </c>
      <c r="F11" s="6">
        <f>SUM(+F21+F28+F34+F40+F47+F58+F66+F77+F84+F90+F100+F156+F164+F170+F177)</f>
        <v>55513763.1</v>
      </c>
      <c r="G11" s="26" t="s">
        <v>379</v>
      </c>
      <c r="H11" s="248">
        <f>SUM(+H21+H28+H34+H40+H47+H58+H66+H77+H84+H90+H100+H156+H164+H170+H177)</f>
        <v>699762</v>
      </c>
      <c r="I11" s="248">
        <f>SUM(I21+I28+I34+I40+I47+I58+I66+I77+I84+I90+I100+I156+I164+I170+I177)</f>
        <v>162482</v>
      </c>
      <c r="J11" s="248">
        <f>SUM(J21+J28+J34+J40+J47+J58+J66+J77+J84+J90+J100+J156+J164+J170+J177)</f>
        <v>159901</v>
      </c>
      <c r="K11" s="301">
        <f>IF(ISERROR(ROUND(J11,0)/ROUND(H11,0))," ",(ROUND(J11,)/ROUND(H11,)))</f>
        <v>0.22850769261548926</v>
      </c>
      <c r="L11" s="248">
        <f>SUM(L21+L28+L34+L40+L47+L58+L66+L77+L84+L90+L100+L156+L164+L170+L177)</f>
        <v>55514</v>
      </c>
    </row>
    <row r="12" spans="1:12" ht="12.75">
      <c r="A12" s="26" t="s">
        <v>380</v>
      </c>
      <c r="B12" s="6">
        <f>B13+B14</f>
        <v>743446778</v>
      </c>
      <c r="C12" s="6">
        <f>C13+C14</f>
        <v>197089999</v>
      </c>
      <c r="D12" s="6">
        <f>D13+D14</f>
        <v>177693994</v>
      </c>
      <c r="E12" s="302">
        <f aca="true" t="shared" si="0" ref="E12:E75">IF(ISERROR(D12/B12)," ",(D12/B12))</f>
        <v>0.2390137387884409</v>
      </c>
      <c r="F12" s="303">
        <f>F13+F14</f>
        <v>60751278</v>
      </c>
      <c r="G12" s="26" t="s">
        <v>380</v>
      </c>
      <c r="H12" s="248">
        <f>H13+H14</f>
        <v>743447</v>
      </c>
      <c r="I12" s="248">
        <f>I13+I14</f>
        <v>197090</v>
      </c>
      <c r="J12" s="248">
        <f>J13+J14</f>
        <v>177693</v>
      </c>
      <c r="K12" s="301">
        <f aca="true" t="shared" si="1" ref="K12:K75">IF(ISERROR(ROUND(J12,0)/ROUND(H12,0))," ",(ROUND(J12,)/ROUND(H12,)))</f>
        <v>0.23901233040149467</v>
      </c>
      <c r="L12" s="248">
        <f>L13+L14</f>
        <v>60751</v>
      </c>
    </row>
    <row r="13" spans="1:12" ht="12.75">
      <c r="A13" s="239" t="s">
        <v>381</v>
      </c>
      <c r="B13" s="158">
        <f>SUM(B24+B32+B37+B43+B50+B62+B72+B81+B95+B105+B161+B166+B175+B180)</f>
        <v>706050840</v>
      </c>
      <c r="C13" s="158">
        <f>SUM(C24+C32+C37+C43+C50+C62+C72+C81+C95+C105+C161+C166+C175+C180)</f>
        <v>186869918</v>
      </c>
      <c r="D13" s="158">
        <f>SUM(D24+D32+D37+D43+D50+D62+D72+D81+D95+D105+D161+D166+D175+D180)</f>
        <v>171415150</v>
      </c>
      <c r="E13" s="304">
        <f t="shared" si="0"/>
        <v>0.2427801799655107</v>
      </c>
      <c r="F13" s="158">
        <f>SUM(F24+F32+F37+F43+F50+F62+F72+F81+F95+F105+F161+F166+F175+F180)</f>
        <v>59103444</v>
      </c>
      <c r="G13" s="239" t="s">
        <v>382</v>
      </c>
      <c r="H13" s="305">
        <f>ROUND(B13/1000,0)</f>
        <v>706051</v>
      </c>
      <c r="I13" s="158">
        <f>SUM(I24+I32+I37+I43+I50+I62+I72+I81+I95+I105+I161+I166+I175+I180)</f>
        <v>186870</v>
      </c>
      <c r="J13" s="158">
        <f>SUM(J24+J32+J37+J43+J50+J62+J72+J81+J95+J105+J161+J166+J175+J180)</f>
        <v>171415</v>
      </c>
      <c r="K13" s="306">
        <f t="shared" si="1"/>
        <v>0.24277991249923872</v>
      </c>
      <c r="L13" s="158">
        <f>SUM(L24+L32+L37+L43+L50+L62+L72+L81+L95+L105+L161+L166+L175+L180)-1</f>
        <v>59103</v>
      </c>
    </row>
    <row r="14" spans="1:12" ht="12.75">
      <c r="A14" s="239" t="s">
        <v>383</v>
      </c>
      <c r="B14" s="158">
        <f>SUM(B25+B45+B51+B63+B73+B82+B86+B96+B106+B162+B167+B181)</f>
        <v>37395938</v>
      </c>
      <c r="C14" s="158">
        <f>SUM(C25+C45+C51+C63+C73+C82+C86+C96+C106+C162+C167+C181)</f>
        <v>10220081</v>
      </c>
      <c r="D14" s="158">
        <f>SUM(D25+D45+D51+D63+D73+D82+D86+D96+D106+D162+D167+D181)</f>
        <v>6278844</v>
      </c>
      <c r="E14" s="304">
        <f t="shared" si="0"/>
        <v>0.16790176515962776</v>
      </c>
      <c r="F14" s="158">
        <f>SUM(F25+F45+F51+F63+F73+F82+F86+F96+F106+F162+F167+F181)</f>
        <v>1647834</v>
      </c>
      <c r="G14" s="239" t="s">
        <v>383</v>
      </c>
      <c r="H14" s="305">
        <f>ROUND(B14/1000,0)</f>
        <v>37396</v>
      </c>
      <c r="I14" s="158">
        <f>SUM(I25+I45+I51+I63+I73+I82+I86+I96+I106+I162+I167+I181)</f>
        <v>10220</v>
      </c>
      <c r="J14" s="158">
        <f>SUM(J25+J45+J51+J63+J73+J82+J86+J96+J106+J162+J167+J181)</f>
        <v>6278</v>
      </c>
      <c r="K14" s="306">
        <f t="shared" si="1"/>
        <v>0.16787891753128678</v>
      </c>
      <c r="L14" s="158">
        <f>SUM(L25+L45+L51+L63+L73+L82+L86+L96+L106+L162+L167+L181)</f>
        <v>1648</v>
      </c>
    </row>
    <row r="15" spans="1:12" ht="12.75">
      <c r="A15" s="26" t="s">
        <v>384</v>
      </c>
      <c r="B15" s="6">
        <f aca="true" t="shared" si="2" ref="B15:D16">SUM(B52)</f>
        <v>6756000</v>
      </c>
      <c r="C15" s="6">
        <f t="shared" si="2"/>
        <v>1859300</v>
      </c>
      <c r="D15" s="6">
        <f t="shared" si="2"/>
        <v>1102567</v>
      </c>
      <c r="E15" s="302">
        <f t="shared" si="0"/>
        <v>0.16319819419775014</v>
      </c>
      <c r="F15" s="303">
        <f>SUM(F52)</f>
        <v>430616</v>
      </c>
      <c r="G15" s="26" t="s">
        <v>384</v>
      </c>
      <c r="H15" s="248">
        <f aca="true" t="shared" si="3" ref="H15:J16">SUM(H52)</f>
        <v>6756</v>
      </c>
      <c r="I15" s="248">
        <f t="shared" si="3"/>
        <v>1859</v>
      </c>
      <c r="J15" s="248">
        <f t="shared" si="3"/>
        <v>1103</v>
      </c>
      <c r="K15" s="301">
        <f t="shared" si="1"/>
        <v>0.1632622853759621</v>
      </c>
      <c r="L15" s="248">
        <f>SUM(L52)</f>
        <v>431</v>
      </c>
    </row>
    <row r="16" spans="1:12" ht="12.75">
      <c r="A16" s="26" t="s">
        <v>385</v>
      </c>
      <c r="B16" s="6">
        <f t="shared" si="2"/>
        <v>16380</v>
      </c>
      <c r="C16" s="6">
        <f t="shared" si="2"/>
        <v>2946</v>
      </c>
      <c r="D16" s="6">
        <f t="shared" si="2"/>
        <v>11225</v>
      </c>
      <c r="E16" s="302">
        <f t="shared" si="0"/>
        <v>0.6852869352869353</v>
      </c>
      <c r="F16" s="303">
        <f>SUM(F53)</f>
        <v>2377</v>
      </c>
      <c r="G16" s="26" t="s">
        <v>385</v>
      </c>
      <c r="H16" s="248">
        <f t="shared" si="3"/>
        <v>16</v>
      </c>
      <c r="I16" s="248">
        <f t="shared" si="3"/>
        <v>3</v>
      </c>
      <c r="J16" s="248">
        <f t="shared" si="3"/>
        <v>11</v>
      </c>
      <c r="K16" s="301">
        <f t="shared" si="1"/>
        <v>0.6875</v>
      </c>
      <c r="L16" s="248">
        <f>SUM(L53)</f>
        <v>2</v>
      </c>
    </row>
    <row r="17" spans="1:12" ht="12.75">
      <c r="A17" s="26" t="s">
        <v>386</v>
      </c>
      <c r="B17" s="6">
        <f>B11-B12-B15+B16</f>
        <v>-50424176</v>
      </c>
      <c r="C17" s="6">
        <f>C11-C12-C15+C16</f>
        <v>-36464576</v>
      </c>
      <c r="D17" s="6">
        <f>D11-D12-D15+D16</f>
        <v>-18884217</v>
      </c>
      <c r="E17" s="302">
        <f t="shared" si="0"/>
        <v>0.374507200672947</v>
      </c>
      <c r="F17" s="303">
        <f>F11-F12-F15+F16</f>
        <v>-5665753.8999999985</v>
      </c>
      <c r="G17" s="26" t="s">
        <v>386</v>
      </c>
      <c r="H17" s="6">
        <f>H11-H12-H15+H16</f>
        <v>-50425</v>
      </c>
      <c r="I17" s="6">
        <f>I11-I12-I15+I16</f>
        <v>-36464</v>
      </c>
      <c r="J17" s="6">
        <f>J11-J12-J15+J16</f>
        <v>-18884</v>
      </c>
      <c r="K17" s="301">
        <f t="shared" si="1"/>
        <v>0.3744967773921666</v>
      </c>
      <c r="L17" s="6">
        <f>L11-L12-L15+L16</f>
        <v>-5666</v>
      </c>
    </row>
    <row r="18" spans="1:12" ht="12.75">
      <c r="A18" s="239" t="s">
        <v>387</v>
      </c>
      <c r="B18" s="6">
        <f>SUM(B55+B75+B108+B98+B183)</f>
        <v>52217619</v>
      </c>
      <c r="C18" s="6">
        <f>SUM(C55+C75+C98+C108+C183)</f>
        <v>35686764</v>
      </c>
      <c r="D18" s="6">
        <f>SUM(D55+D75+D87+D98+D108+D183-D44)</f>
        <v>22885678</v>
      </c>
      <c r="E18" s="302">
        <f t="shared" si="0"/>
        <v>0.4382750197782859</v>
      </c>
      <c r="F18" s="6">
        <f>SUM(F55+F75+F87+F98+F108+F183-F44)</f>
        <v>5338609</v>
      </c>
      <c r="G18" s="239" t="s">
        <v>387</v>
      </c>
      <c r="H18" s="6">
        <f>SUM(H55+H75+H98+H108+H183)</f>
        <v>52218</v>
      </c>
      <c r="I18" s="248">
        <f>SUM(I55+I75+I98+I108+I183)</f>
        <v>35686</v>
      </c>
      <c r="J18" s="248">
        <f>SUM(J55+J75+J98+J87+J108+J183-J44)</f>
        <v>22885</v>
      </c>
      <c r="K18" s="301">
        <f t="shared" si="1"/>
        <v>0.4382588379486001</v>
      </c>
      <c r="L18" s="248">
        <f>SUM(L55+L75+L87+L98+L108+L183-L44)</f>
        <v>5338</v>
      </c>
    </row>
    <row r="19" spans="1:12" ht="12.75">
      <c r="A19" s="26" t="s">
        <v>124</v>
      </c>
      <c r="B19" s="6"/>
      <c r="C19" s="6"/>
      <c r="D19" s="6"/>
      <c r="E19" s="302" t="str">
        <f t="shared" si="0"/>
        <v> </v>
      </c>
      <c r="F19" s="303"/>
      <c r="G19" s="26" t="s">
        <v>124</v>
      </c>
      <c r="H19" s="248"/>
      <c r="I19" s="248"/>
      <c r="J19" s="248"/>
      <c r="K19" s="301"/>
      <c r="L19" s="248"/>
    </row>
    <row r="20" spans="1:12" ht="12.75">
      <c r="A20" s="201" t="s">
        <v>388</v>
      </c>
      <c r="B20" s="158"/>
      <c r="C20" s="158"/>
      <c r="D20" s="158"/>
      <c r="E20" s="304" t="str">
        <f t="shared" si="0"/>
        <v> </v>
      </c>
      <c r="F20" s="307"/>
      <c r="G20" s="201" t="s">
        <v>388</v>
      </c>
      <c r="H20" s="240"/>
      <c r="I20" s="240"/>
      <c r="J20" s="240"/>
      <c r="K20" s="306"/>
      <c r="L20" s="240"/>
    </row>
    <row r="21" spans="1:12" ht="12.75">
      <c r="A21" s="239" t="s">
        <v>389</v>
      </c>
      <c r="B21" s="158">
        <f>B22</f>
        <v>2100500</v>
      </c>
      <c r="C21" s="308">
        <f>SUM(C22)</f>
        <v>648000</v>
      </c>
      <c r="D21" s="158">
        <f>D22</f>
        <v>593939</v>
      </c>
      <c r="E21" s="304">
        <f t="shared" si="0"/>
        <v>0.2827607712449417</v>
      </c>
      <c r="F21" s="158">
        <f>F22</f>
        <v>204192</v>
      </c>
      <c r="G21" s="239" t="s">
        <v>389</v>
      </c>
      <c r="H21" s="305">
        <f>H22</f>
        <v>2101</v>
      </c>
      <c r="I21" s="305">
        <f>ROUND(C21/1000,0)</f>
        <v>648</v>
      </c>
      <c r="J21" s="305">
        <f>J22</f>
        <v>594</v>
      </c>
      <c r="K21" s="306">
        <f t="shared" si="1"/>
        <v>0.28272251308900526</v>
      </c>
      <c r="L21" s="305">
        <f>SUM(L22)</f>
        <v>204</v>
      </c>
    </row>
    <row r="22" spans="1:12" ht="12.75">
      <c r="A22" s="239" t="s">
        <v>390</v>
      </c>
      <c r="B22" s="158">
        <v>2100500</v>
      </c>
      <c r="C22" s="308">
        <v>648000</v>
      </c>
      <c r="D22" s="158">
        <v>593939</v>
      </c>
      <c r="E22" s="304">
        <f t="shared" si="0"/>
        <v>0.2827607712449417</v>
      </c>
      <c r="F22" s="307">
        <f>D22-'[7]Februāris'!D22</f>
        <v>204192</v>
      </c>
      <c r="G22" s="239" t="s">
        <v>390</v>
      </c>
      <c r="H22" s="305">
        <f>ROUND(B22/1000,0)</f>
        <v>2101</v>
      </c>
      <c r="I22" s="305">
        <f>ROUND(C22/1000,0)</f>
        <v>648</v>
      </c>
      <c r="J22" s="305">
        <f>ROUND(D22/1000,0)</f>
        <v>594</v>
      </c>
      <c r="K22" s="306">
        <f t="shared" si="1"/>
        <v>0.28272251308900526</v>
      </c>
      <c r="L22" s="305">
        <f>J22-'[7]Februāris'!J22</f>
        <v>204</v>
      </c>
    </row>
    <row r="23" spans="1:12" ht="12.75">
      <c r="A23" s="239" t="s">
        <v>391</v>
      </c>
      <c r="B23" s="158">
        <f>B24+B25</f>
        <v>2100500</v>
      </c>
      <c r="C23" s="308">
        <f>SUM(C24:C25)</f>
        <v>648000</v>
      </c>
      <c r="D23" s="158">
        <f>D24+D25</f>
        <v>600950</v>
      </c>
      <c r="E23" s="304">
        <f t="shared" si="0"/>
        <v>0.2860985479647703</v>
      </c>
      <c r="F23" s="158">
        <f>F24+F25</f>
        <v>237600</v>
      </c>
      <c r="G23" s="239" t="s">
        <v>391</v>
      </c>
      <c r="H23" s="240">
        <f>H24+H25</f>
        <v>2101</v>
      </c>
      <c r="I23" s="240">
        <f>I24+I25</f>
        <v>648</v>
      </c>
      <c r="J23" s="240">
        <f>J24+J25</f>
        <v>601</v>
      </c>
      <c r="K23" s="306">
        <f t="shared" si="1"/>
        <v>0.2860542598762494</v>
      </c>
      <c r="L23" s="240">
        <f>L24+L25</f>
        <v>238</v>
      </c>
    </row>
    <row r="24" spans="1:12" ht="12.75">
      <c r="A24" s="239" t="s">
        <v>392</v>
      </c>
      <c r="B24" s="158">
        <v>2014500</v>
      </c>
      <c r="C24" s="308">
        <v>625000</v>
      </c>
      <c r="D24" s="158">
        <v>594005</v>
      </c>
      <c r="E24" s="304">
        <f t="shared" si="0"/>
        <v>0.29486473070240754</v>
      </c>
      <c r="F24" s="307">
        <f>D24-'[7]Februāris'!D24</f>
        <v>234129</v>
      </c>
      <c r="G24" s="239" t="s">
        <v>392</v>
      </c>
      <c r="H24" s="305">
        <f aca="true" t="shared" si="4" ref="H24:J25">ROUND(B24/1000,0)</f>
        <v>2015</v>
      </c>
      <c r="I24" s="305">
        <f>ROUND(C24/1000,0)</f>
        <v>625</v>
      </c>
      <c r="J24" s="305">
        <f t="shared" si="4"/>
        <v>594</v>
      </c>
      <c r="K24" s="306">
        <f t="shared" si="1"/>
        <v>0.29478908188585606</v>
      </c>
      <c r="L24" s="305">
        <f>J24-'[7]Februāris'!J24</f>
        <v>234</v>
      </c>
    </row>
    <row r="25" spans="1:12" ht="12.75">
      <c r="A25" s="239" t="s">
        <v>383</v>
      </c>
      <c r="B25" s="158">
        <v>86000</v>
      </c>
      <c r="C25" s="308">
        <v>23000</v>
      </c>
      <c r="D25" s="158">
        <v>6945</v>
      </c>
      <c r="E25" s="304">
        <f t="shared" si="0"/>
        <v>0.08075581395348837</v>
      </c>
      <c r="F25" s="307">
        <f>D25-'[7]Februāris'!D25</f>
        <v>3471</v>
      </c>
      <c r="G25" s="239" t="s">
        <v>383</v>
      </c>
      <c r="H25" s="305">
        <f t="shared" si="4"/>
        <v>86</v>
      </c>
      <c r="I25" s="305">
        <f t="shared" si="4"/>
        <v>23</v>
      </c>
      <c r="J25" s="305">
        <f t="shared" si="4"/>
        <v>7</v>
      </c>
      <c r="K25" s="306">
        <f t="shared" si="1"/>
        <v>0.08139534883720931</v>
      </c>
      <c r="L25" s="305">
        <f>J25-'[7]Februāris'!J25</f>
        <v>4</v>
      </c>
    </row>
    <row r="26" spans="1:12" ht="12.75">
      <c r="A26" s="26" t="s">
        <v>125</v>
      </c>
      <c r="B26" s="6"/>
      <c r="C26" s="309"/>
      <c r="D26" s="6"/>
      <c r="E26" s="304" t="str">
        <f t="shared" si="0"/>
        <v> </v>
      </c>
      <c r="F26" s="303"/>
      <c r="G26" s="26" t="s">
        <v>125</v>
      </c>
      <c r="H26" s="248"/>
      <c r="I26" s="248"/>
      <c r="J26" s="248"/>
      <c r="K26" s="306"/>
      <c r="L26" s="248"/>
    </row>
    <row r="27" spans="1:12" ht="33.75" customHeight="1">
      <c r="A27" s="146" t="s">
        <v>393</v>
      </c>
      <c r="B27" s="158"/>
      <c r="C27" s="308"/>
      <c r="D27" s="158"/>
      <c r="E27" s="304" t="str">
        <f t="shared" si="0"/>
        <v> </v>
      </c>
      <c r="F27" s="307"/>
      <c r="G27" s="146" t="s">
        <v>393</v>
      </c>
      <c r="H27" s="240"/>
      <c r="I27" s="240"/>
      <c r="J27" s="240"/>
      <c r="K27" s="306"/>
      <c r="L27" s="240"/>
    </row>
    <row r="28" spans="1:12" ht="12.75">
      <c r="A28" s="239" t="s">
        <v>389</v>
      </c>
      <c r="B28" s="158">
        <f>B29+B30</f>
        <v>2065000</v>
      </c>
      <c r="C28" s="308">
        <v>503440</v>
      </c>
      <c r="D28" s="158">
        <f>SUM(D29:D30)</f>
        <v>786838</v>
      </c>
      <c r="E28" s="304">
        <f t="shared" si="0"/>
        <v>0.38103535108958836</v>
      </c>
      <c r="F28" s="307">
        <f>F29+F30</f>
        <v>144713</v>
      </c>
      <c r="G28" s="239" t="s">
        <v>389</v>
      </c>
      <c r="H28" s="240">
        <f>H29+H30</f>
        <v>2065</v>
      </c>
      <c r="I28" s="305">
        <f>ROUND(C28/1000,0)</f>
        <v>503</v>
      </c>
      <c r="J28" s="240">
        <f>J29+J30</f>
        <v>787</v>
      </c>
      <c r="K28" s="306">
        <f t="shared" si="1"/>
        <v>0.3811138014527845</v>
      </c>
      <c r="L28" s="240">
        <f>SUM(L29:L30)</f>
        <v>145</v>
      </c>
    </row>
    <row r="29" spans="1:12" ht="12.75">
      <c r="A29" s="119" t="s">
        <v>394</v>
      </c>
      <c r="B29" s="158">
        <v>1755000</v>
      </c>
      <c r="C29" s="308"/>
      <c r="D29" s="158">
        <f>786838-248624</f>
        <v>538214</v>
      </c>
      <c r="E29" s="304">
        <f t="shared" si="0"/>
        <v>0.3066746438746439</v>
      </c>
      <c r="F29" s="307">
        <f>D29-'[7]Februāris'!D29</f>
        <v>93474</v>
      </c>
      <c r="G29" s="119" t="s">
        <v>394</v>
      </c>
      <c r="H29" s="305">
        <f>ROUND(B29/1000,0)</f>
        <v>1755</v>
      </c>
      <c r="I29" s="305">
        <f>ROUND(C29/1000,0)</f>
        <v>0</v>
      </c>
      <c r="J29" s="305">
        <f>ROUND(D29/1000,0)</f>
        <v>538</v>
      </c>
      <c r="K29" s="306">
        <f t="shared" si="1"/>
        <v>0.30655270655270656</v>
      </c>
      <c r="L29" s="305">
        <f>J29-'[7]Februāris'!J29</f>
        <v>93</v>
      </c>
    </row>
    <row r="30" spans="1:12" ht="12.75">
      <c r="A30" s="275" t="s">
        <v>395</v>
      </c>
      <c r="B30" s="158">
        <v>310000</v>
      </c>
      <c r="C30" s="308"/>
      <c r="D30" s="158">
        <f>9125+42210+197289</f>
        <v>248624</v>
      </c>
      <c r="E30" s="304">
        <f t="shared" si="0"/>
        <v>0.8020129032258064</v>
      </c>
      <c r="F30" s="307">
        <f>D30-'[7]Februāris'!D30</f>
        <v>51239</v>
      </c>
      <c r="G30" s="275" t="s">
        <v>395</v>
      </c>
      <c r="H30" s="305">
        <f>ROUND(B30/1000,0)</f>
        <v>310</v>
      </c>
      <c r="I30" s="305">
        <f>ROUND(C30/1000,0)</f>
        <v>0</v>
      </c>
      <c r="J30" s="305">
        <f>ROUND(D30/1000,0)</f>
        <v>249</v>
      </c>
      <c r="K30" s="306">
        <f t="shared" si="1"/>
        <v>0.8032258064516129</v>
      </c>
      <c r="L30" s="305">
        <f>J30-'[7]Februāris'!J30</f>
        <v>52</v>
      </c>
    </row>
    <row r="31" spans="1:12" ht="12.75">
      <c r="A31" s="239" t="s">
        <v>391</v>
      </c>
      <c r="B31" s="158">
        <f>B32</f>
        <v>1320000</v>
      </c>
      <c r="C31" s="308">
        <f>SUM(C32)</f>
        <v>328430</v>
      </c>
      <c r="D31" s="158">
        <f>D32</f>
        <v>149720</v>
      </c>
      <c r="E31" s="304">
        <f t="shared" si="0"/>
        <v>0.11342424242424243</v>
      </c>
      <c r="F31" s="307">
        <f>F32</f>
        <v>40651</v>
      </c>
      <c r="G31" s="239" t="s">
        <v>391</v>
      </c>
      <c r="H31" s="240">
        <f>H32</f>
        <v>1320</v>
      </c>
      <c r="I31" s="240">
        <f>I32</f>
        <v>328</v>
      </c>
      <c r="J31" s="240">
        <f>J32</f>
        <v>150</v>
      </c>
      <c r="K31" s="306">
        <f t="shared" si="1"/>
        <v>0.11363636363636363</v>
      </c>
      <c r="L31" s="240">
        <f>L32</f>
        <v>41</v>
      </c>
    </row>
    <row r="32" spans="1:12" ht="12.75">
      <c r="A32" s="239" t="s">
        <v>392</v>
      </c>
      <c r="B32" s="158">
        <v>1320000</v>
      </c>
      <c r="C32" s="308">
        <v>328430</v>
      </c>
      <c r="D32" s="158">
        <v>149720</v>
      </c>
      <c r="E32" s="304">
        <f t="shared" si="0"/>
        <v>0.11342424242424243</v>
      </c>
      <c r="F32" s="307">
        <f>D32-'[7]Februāris'!D32</f>
        <v>40651</v>
      </c>
      <c r="G32" s="239" t="s">
        <v>392</v>
      </c>
      <c r="H32" s="305">
        <f>ROUND(B32/1000,0)</f>
        <v>1320</v>
      </c>
      <c r="I32" s="305">
        <f>ROUND(C32/1000,0)</f>
        <v>328</v>
      </c>
      <c r="J32" s="305">
        <f>ROUND(D32/1000,0)</f>
        <v>150</v>
      </c>
      <c r="K32" s="306">
        <f t="shared" si="1"/>
        <v>0.11363636363636363</v>
      </c>
      <c r="L32" s="305">
        <f>J32-'[7]Februāris'!J32</f>
        <v>41</v>
      </c>
    </row>
    <row r="33" spans="1:12" ht="25.5">
      <c r="A33" s="146" t="s">
        <v>396</v>
      </c>
      <c r="B33" s="278"/>
      <c r="C33" s="308"/>
      <c r="D33" s="278"/>
      <c r="E33" s="304" t="str">
        <f>IF(ISERROR(D33/B33)," ",(D33/B33))</f>
        <v> </v>
      </c>
      <c r="F33" s="310"/>
      <c r="G33" s="146" t="s">
        <v>396</v>
      </c>
      <c r="H33" s="254"/>
      <c r="I33" s="254"/>
      <c r="J33" s="254"/>
      <c r="K33" s="306"/>
      <c r="L33" s="254"/>
    </row>
    <row r="34" spans="1:12" ht="12.75">
      <c r="A34" s="239" t="s">
        <v>389</v>
      </c>
      <c r="B34" s="158">
        <f>B35</f>
        <v>750000</v>
      </c>
      <c r="C34" s="308">
        <f>SUM(C35)</f>
        <v>188000</v>
      </c>
      <c r="D34" s="158">
        <f>D35</f>
        <v>249995</v>
      </c>
      <c r="E34" s="304">
        <f>IF(ISERROR(D34/B34)," ",(D34/B34))</f>
        <v>0.33332666666666666</v>
      </c>
      <c r="F34" s="158">
        <f>F35</f>
        <v>4036</v>
      </c>
      <c r="G34" s="239" t="s">
        <v>389</v>
      </c>
      <c r="H34" s="158">
        <f>H35</f>
        <v>750</v>
      </c>
      <c r="I34" s="305">
        <f>ROUND(C34/1000,0)</f>
        <v>188</v>
      </c>
      <c r="J34" s="158">
        <f>J35</f>
        <v>250</v>
      </c>
      <c r="K34" s="306">
        <f>IF(ISERROR(ROUND(J34,0)/ROUND(H34,0))," ",(ROUND(J34,)/ROUND(H34,)))</f>
        <v>0.3333333333333333</v>
      </c>
      <c r="L34" s="158">
        <f>L35</f>
        <v>4</v>
      </c>
    </row>
    <row r="35" spans="1:12" ht="12.75">
      <c r="A35" s="311" t="s">
        <v>397</v>
      </c>
      <c r="B35" s="312">
        <v>750000</v>
      </c>
      <c r="C35" s="313">
        <v>188000</v>
      </c>
      <c r="D35" s="312">
        <v>249995</v>
      </c>
      <c r="E35" s="304">
        <f>IF(ISERROR(D35/B35)," ",(D35/B35))</f>
        <v>0.33332666666666666</v>
      </c>
      <c r="F35" s="307">
        <f>D35-'[7]Februāris'!D35</f>
        <v>4036</v>
      </c>
      <c r="G35" s="311" t="s">
        <v>398</v>
      </c>
      <c r="H35" s="305">
        <f>ROUND(B35/1000,0)</f>
        <v>750</v>
      </c>
      <c r="I35" s="305">
        <f>ROUND(C35/1000,0)</f>
        <v>188</v>
      </c>
      <c r="J35" s="305">
        <f>ROUND(D35/1000,0)</f>
        <v>250</v>
      </c>
      <c r="K35" s="306">
        <f>IF(ISERROR(ROUND(J35,0)/ROUND(H35,0))," ",(ROUND(J35,)/ROUND(H35,)))</f>
        <v>0.3333333333333333</v>
      </c>
      <c r="L35" s="305">
        <f>J35-'[7]Februāris'!J35</f>
        <v>4</v>
      </c>
    </row>
    <row r="36" spans="1:12" ht="12.75">
      <c r="A36" s="239" t="s">
        <v>391</v>
      </c>
      <c r="B36" s="158">
        <f>B37</f>
        <v>53300</v>
      </c>
      <c r="C36" s="308">
        <f>SUM(C37)</f>
        <v>15000</v>
      </c>
      <c r="D36" s="158">
        <f>D37</f>
        <v>9914</v>
      </c>
      <c r="E36" s="304">
        <f>IF(ISERROR(D36/B36)," ",(D36/B36))</f>
        <v>0.18600375234521577</v>
      </c>
      <c r="F36" s="307">
        <f>F37</f>
        <v>4463</v>
      </c>
      <c r="G36" s="239" t="s">
        <v>391</v>
      </c>
      <c r="H36" s="240">
        <f>H37</f>
        <v>53</v>
      </c>
      <c r="I36" s="240">
        <f>I37</f>
        <v>15</v>
      </c>
      <c r="J36" s="240">
        <f>J37</f>
        <v>10</v>
      </c>
      <c r="K36" s="306">
        <f>IF(ISERROR(ROUND(J36,0)/ROUND(H36,0))," ",(ROUND(J36,)/ROUND(H36,)))</f>
        <v>0.18867924528301888</v>
      </c>
      <c r="L36" s="240">
        <f>L37</f>
        <v>5</v>
      </c>
    </row>
    <row r="37" spans="1:12" ht="12.75">
      <c r="A37" s="239" t="s">
        <v>392</v>
      </c>
      <c r="B37" s="314">
        <v>53300</v>
      </c>
      <c r="C37" s="308">
        <v>15000</v>
      </c>
      <c r="D37" s="158">
        <v>9914</v>
      </c>
      <c r="E37" s="304">
        <f>IF(ISERROR(D37/B37)," ",(D37/B37))</f>
        <v>0.18600375234521577</v>
      </c>
      <c r="F37" s="307">
        <f>D37-'[7]Februāris'!D37</f>
        <v>4463</v>
      </c>
      <c r="G37" s="239" t="s">
        <v>399</v>
      </c>
      <c r="H37" s="305">
        <f>ROUND(B37/1000,0)</f>
        <v>53</v>
      </c>
      <c r="I37" s="305">
        <f>ROUND(C37/1000,0)</f>
        <v>15</v>
      </c>
      <c r="J37" s="305">
        <f>ROUND(D37/1000,0)</f>
        <v>10</v>
      </c>
      <c r="K37" s="306">
        <f>IF(ISERROR(ROUND(J37,0)/ROUND(H37,0))," ",(ROUND(J37,)/ROUND(H37,)))</f>
        <v>0.18867924528301888</v>
      </c>
      <c r="L37" s="305">
        <f>J37-'[7]Februāris'!J37</f>
        <v>5</v>
      </c>
    </row>
    <row r="38" spans="1:12" ht="12.75">
      <c r="A38" s="26" t="s">
        <v>127</v>
      </c>
      <c r="B38" s="6"/>
      <c r="C38" s="309"/>
      <c r="D38" s="158"/>
      <c r="E38" s="304" t="str">
        <f t="shared" si="0"/>
        <v> </v>
      </c>
      <c r="F38" s="303"/>
      <c r="G38" s="26" t="s">
        <v>127</v>
      </c>
      <c r="H38" s="248"/>
      <c r="I38" s="248"/>
      <c r="J38" s="248"/>
      <c r="K38" s="306"/>
      <c r="L38" s="248"/>
    </row>
    <row r="39" spans="1:12" ht="12.75">
      <c r="A39" s="201" t="s">
        <v>400</v>
      </c>
      <c r="B39" s="158"/>
      <c r="C39" s="308"/>
      <c r="D39" s="158"/>
      <c r="E39" s="304" t="str">
        <f t="shared" si="0"/>
        <v> </v>
      </c>
      <c r="F39" s="307"/>
      <c r="G39" s="201" t="s">
        <v>400</v>
      </c>
      <c r="H39" s="240"/>
      <c r="I39" s="240"/>
      <c r="J39" s="240"/>
      <c r="K39" s="306"/>
      <c r="L39" s="240"/>
    </row>
    <row r="40" spans="1:12" ht="12.75">
      <c r="A40" s="239" t="s">
        <v>389</v>
      </c>
      <c r="B40" s="158">
        <f>B41</f>
        <v>1550000</v>
      </c>
      <c r="C40" s="308">
        <f>SUM(C41)</f>
        <v>777100</v>
      </c>
      <c r="D40" s="158">
        <f>D41</f>
        <v>777100</v>
      </c>
      <c r="E40" s="304">
        <f t="shared" si="0"/>
        <v>0.5013548387096775</v>
      </c>
      <c r="F40" s="307">
        <f>F41</f>
        <v>230600</v>
      </c>
      <c r="G40" s="239" t="s">
        <v>389</v>
      </c>
      <c r="H40" s="240">
        <f>H41</f>
        <v>1550</v>
      </c>
      <c r="I40" s="305">
        <f>ROUND(C40/1000,0)</f>
        <v>777</v>
      </c>
      <c r="J40" s="240">
        <f>J41</f>
        <v>777</v>
      </c>
      <c r="K40" s="306">
        <f t="shared" si="1"/>
        <v>0.5012903225806452</v>
      </c>
      <c r="L40" s="240">
        <f>L41</f>
        <v>230</v>
      </c>
    </row>
    <row r="41" spans="1:12" ht="12.75">
      <c r="A41" s="119" t="s">
        <v>401</v>
      </c>
      <c r="B41" s="158">
        <v>1550000</v>
      </c>
      <c r="C41" s="308">
        <v>777100</v>
      </c>
      <c r="D41" s="158">
        <v>777100</v>
      </c>
      <c r="E41" s="304">
        <f t="shared" si="0"/>
        <v>0.5013548387096775</v>
      </c>
      <c r="F41" s="307">
        <f>D41-'[7]Februāris'!D41</f>
        <v>230600</v>
      </c>
      <c r="G41" s="119" t="s">
        <v>401</v>
      </c>
      <c r="H41" s="305">
        <f>ROUND(B41/1000,0)</f>
        <v>1550</v>
      </c>
      <c r="I41" s="305">
        <f>ROUND(C41/1000,0)</f>
        <v>777</v>
      </c>
      <c r="J41" s="305">
        <f>ROUND(D41/1000,0)</f>
        <v>777</v>
      </c>
      <c r="K41" s="306">
        <f t="shared" si="1"/>
        <v>0.5012903225806452</v>
      </c>
      <c r="L41" s="305">
        <f>J41-'[7]Februāris'!J41</f>
        <v>230</v>
      </c>
    </row>
    <row r="42" spans="1:12" ht="12.75">
      <c r="A42" s="239" t="s">
        <v>391</v>
      </c>
      <c r="B42" s="158">
        <f>B43+B45</f>
        <v>1550000</v>
      </c>
      <c r="C42" s="308">
        <f>SUM(C43:C45)</f>
        <v>777100</v>
      </c>
      <c r="D42" s="158">
        <f>D43+D45</f>
        <v>758533</v>
      </c>
      <c r="E42" s="304">
        <f t="shared" si="0"/>
        <v>0.4893761290322581</v>
      </c>
      <c r="F42" s="307">
        <f>F43+F45</f>
        <v>217652</v>
      </c>
      <c r="G42" s="239" t="s">
        <v>391</v>
      </c>
      <c r="H42" s="240">
        <f>H43+H45</f>
        <v>1550</v>
      </c>
      <c r="I42" s="240">
        <f>I43+I45</f>
        <v>777</v>
      </c>
      <c r="J42" s="240">
        <f>J43+J45</f>
        <v>759</v>
      </c>
      <c r="K42" s="306">
        <f t="shared" si="1"/>
        <v>0.4896774193548387</v>
      </c>
      <c r="L42" s="240">
        <f>L43+L45</f>
        <v>218</v>
      </c>
    </row>
    <row r="43" spans="1:12" ht="12.75">
      <c r="A43" s="239" t="s">
        <v>392</v>
      </c>
      <c r="B43" s="158">
        <v>1292000</v>
      </c>
      <c r="C43" s="308">
        <v>630568</v>
      </c>
      <c r="D43" s="158">
        <v>614033</v>
      </c>
      <c r="E43" s="304">
        <f t="shared" si="0"/>
        <v>0.4752577399380805</v>
      </c>
      <c r="F43" s="307">
        <f>D43-'[7]Februāris'!D43</f>
        <v>157652</v>
      </c>
      <c r="G43" s="239" t="s">
        <v>402</v>
      </c>
      <c r="H43" s="305">
        <f>ROUND(B43/1000,0)</f>
        <v>1292</v>
      </c>
      <c r="I43" s="305">
        <f>ROUND(C43/1000,0)-1</f>
        <v>630</v>
      </c>
      <c r="J43" s="305">
        <f>ROUND(D43/1000,0)</f>
        <v>614</v>
      </c>
      <c r="K43" s="306">
        <f t="shared" si="1"/>
        <v>0.47523219814241485</v>
      </c>
      <c r="L43" s="305">
        <f>J43-'[7]Februāris'!J43</f>
        <v>158</v>
      </c>
    </row>
    <row r="44" spans="1:12" ht="12.75">
      <c r="A44" s="239" t="s">
        <v>403</v>
      </c>
      <c r="B44" s="158">
        <v>300000</v>
      </c>
      <c r="C44" s="308"/>
      <c r="D44" s="158">
        <v>300000</v>
      </c>
      <c r="E44" s="304">
        <f t="shared" si="0"/>
        <v>1</v>
      </c>
      <c r="F44" s="307">
        <f>D44</f>
        <v>300000</v>
      </c>
      <c r="G44" s="239" t="s">
        <v>404</v>
      </c>
      <c r="H44" s="305">
        <f>ROUND(B44/1000,0)</f>
        <v>300</v>
      </c>
      <c r="I44" s="305"/>
      <c r="J44" s="305">
        <f>ROUND(D44/1000,0)</f>
        <v>300</v>
      </c>
      <c r="K44" s="306">
        <f t="shared" si="1"/>
        <v>1</v>
      </c>
      <c r="L44" s="305">
        <f>J44</f>
        <v>300</v>
      </c>
    </row>
    <row r="45" spans="1:12" ht="12.75">
      <c r="A45" s="239" t="s">
        <v>383</v>
      </c>
      <c r="B45" s="158">
        <v>258000</v>
      </c>
      <c r="C45" s="308">
        <v>146532</v>
      </c>
      <c r="D45" s="158">
        <v>144500</v>
      </c>
      <c r="E45" s="304">
        <f t="shared" si="0"/>
        <v>0.560077519379845</v>
      </c>
      <c r="F45" s="307">
        <f>D45-'[7]Februāris'!D44</f>
        <v>60000</v>
      </c>
      <c r="G45" s="239" t="s">
        <v>405</v>
      </c>
      <c r="H45" s="305">
        <f>ROUND(B45/1000,0)</f>
        <v>258</v>
      </c>
      <c r="I45" s="305">
        <f>ROUND(C45/1000,0)</f>
        <v>147</v>
      </c>
      <c r="J45" s="305">
        <f>ROUND(D45/1000,0)</f>
        <v>145</v>
      </c>
      <c r="K45" s="306">
        <f t="shared" si="1"/>
        <v>0.562015503875969</v>
      </c>
      <c r="L45" s="305">
        <f>J45-'[7]Februāris'!J44</f>
        <v>60</v>
      </c>
    </row>
    <row r="46" spans="1:12" ht="12.75">
      <c r="A46" s="146" t="s">
        <v>406</v>
      </c>
      <c r="B46" s="158"/>
      <c r="C46" s="308"/>
      <c r="D46" s="158"/>
      <c r="E46" s="304" t="str">
        <f t="shared" si="0"/>
        <v> </v>
      </c>
      <c r="F46" s="307"/>
      <c r="G46" s="146" t="s">
        <v>406</v>
      </c>
      <c r="H46" s="240"/>
      <c r="I46" s="240"/>
      <c r="J46" s="240"/>
      <c r="K46" s="306"/>
      <c r="L46" s="240"/>
    </row>
    <row r="47" spans="1:12" ht="12.75">
      <c r="A47" s="239" t="s">
        <v>389</v>
      </c>
      <c r="B47" s="158">
        <f>B48</f>
        <v>1181629</v>
      </c>
      <c r="C47" s="308">
        <f>SUM(C48)</f>
        <v>184658</v>
      </c>
      <c r="D47" s="158">
        <f>D48</f>
        <v>184698</v>
      </c>
      <c r="E47" s="304">
        <f t="shared" si="0"/>
        <v>0.15630794437171058</v>
      </c>
      <c r="F47" s="307">
        <f>F48</f>
        <v>6425</v>
      </c>
      <c r="G47" s="239" t="s">
        <v>389</v>
      </c>
      <c r="H47" s="240">
        <f>H48</f>
        <v>1182</v>
      </c>
      <c r="I47" s="305">
        <f>ROUND(C47/1000,0)</f>
        <v>185</v>
      </c>
      <c r="J47" s="240">
        <f>J48</f>
        <v>185</v>
      </c>
      <c r="K47" s="306">
        <f t="shared" si="1"/>
        <v>0.15651438240270726</v>
      </c>
      <c r="L47" s="240">
        <f>L48</f>
        <v>7</v>
      </c>
    </row>
    <row r="48" spans="1:12" ht="12.75">
      <c r="A48" s="119" t="s">
        <v>401</v>
      </c>
      <c r="B48" s="158">
        <v>1181629</v>
      </c>
      <c r="C48" s="308">
        <v>184658</v>
      </c>
      <c r="D48" s="158">
        <v>184698</v>
      </c>
      <c r="E48" s="304">
        <f t="shared" si="0"/>
        <v>0.15630794437171058</v>
      </c>
      <c r="F48" s="307">
        <f>D48-'[7]Februāris'!D47</f>
        <v>6425</v>
      </c>
      <c r="G48" s="119" t="s">
        <v>401</v>
      </c>
      <c r="H48" s="305">
        <f>ROUND(B48/1000,0)</f>
        <v>1182</v>
      </c>
      <c r="I48" s="305">
        <f>ROUND(C48/1000,0)</f>
        <v>185</v>
      </c>
      <c r="J48" s="305">
        <f>ROUND(D48/1000,0)</f>
        <v>185</v>
      </c>
      <c r="K48" s="306">
        <f t="shared" si="1"/>
        <v>0.15651438240270726</v>
      </c>
      <c r="L48" s="305">
        <f>J48-'[7]Februāris'!J47</f>
        <v>7</v>
      </c>
    </row>
    <row r="49" spans="1:12" ht="12.75">
      <c r="A49" s="239" t="s">
        <v>391</v>
      </c>
      <c r="B49" s="158">
        <f>B50+B51</f>
        <v>1198009</v>
      </c>
      <c r="C49" s="308">
        <f>SUM(C50:C51)</f>
        <v>187604</v>
      </c>
      <c r="D49" s="158">
        <f>D50+D51</f>
        <v>101932</v>
      </c>
      <c r="E49" s="304">
        <f t="shared" si="0"/>
        <v>0.08508450270406984</v>
      </c>
      <c r="F49" s="307">
        <f>F50+F51</f>
        <v>9679</v>
      </c>
      <c r="G49" s="239" t="s">
        <v>391</v>
      </c>
      <c r="H49" s="240">
        <f>H50+H51</f>
        <v>1198</v>
      </c>
      <c r="I49" s="240">
        <f>I50+I51</f>
        <v>187</v>
      </c>
      <c r="J49" s="240">
        <f>J50+J51</f>
        <v>102</v>
      </c>
      <c r="K49" s="306">
        <f t="shared" si="1"/>
        <v>0.08514190317195326</v>
      </c>
      <c r="L49" s="240">
        <f>L50+L51</f>
        <v>10</v>
      </c>
    </row>
    <row r="50" spans="1:12" ht="12.75">
      <c r="A50" s="239" t="s">
        <v>392</v>
      </c>
      <c r="B50" s="158">
        <v>1193809</v>
      </c>
      <c r="C50" s="308">
        <v>186114</v>
      </c>
      <c r="D50" s="158">
        <v>101932</v>
      </c>
      <c r="E50" s="304">
        <f t="shared" si="0"/>
        <v>0.08538384280902557</v>
      </c>
      <c r="F50" s="307">
        <f>D50-'[7]Februāris'!D49</f>
        <v>9679</v>
      </c>
      <c r="G50" s="239" t="s">
        <v>402</v>
      </c>
      <c r="H50" s="305">
        <f aca="true" t="shared" si="5" ref="H50:J55">ROUND(B50/1000,0)</f>
        <v>1194</v>
      </c>
      <c r="I50" s="305">
        <f t="shared" si="5"/>
        <v>186</v>
      </c>
      <c r="J50" s="305">
        <f t="shared" si="5"/>
        <v>102</v>
      </c>
      <c r="K50" s="306">
        <f t="shared" si="1"/>
        <v>0.08542713567839195</v>
      </c>
      <c r="L50" s="305">
        <f>J50-'[7]Februāris'!J49</f>
        <v>10</v>
      </c>
    </row>
    <row r="51" spans="1:12" ht="12.75">
      <c r="A51" s="239" t="s">
        <v>383</v>
      </c>
      <c r="B51" s="158">
        <v>4200</v>
      </c>
      <c r="C51" s="308">
        <v>1490</v>
      </c>
      <c r="D51" s="158"/>
      <c r="E51" s="304">
        <f t="shared" si="0"/>
        <v>0</v>
      </c>
      <c r="F51" s="307">
        <f>D51-'[7]Februāris'!D50</f>
        <v>0</v>
      </c>
      <c r="G51" s="239" t="s">
        <v>405</v>
      </c>
      <c r="H51" s="305">
        <f t="shared" si="5"/>
        <v>4</v>
      </c>
      <c r="I51" s="305">
        <f t="shared" si="5"/>
        <v>1</v>
      </c>
      <c r="J51" s="305">
        <f t="shared" si="5"/>
        <v>0</v>
      </c>
      <c r="K51" s="306">
        <f t="shared" si="1"/>
        <v>0</v>
      </c>
      <c r="L51" s="305">
        <f>J51-'[7]Februāris'!J50</f>
        <v>0</v>
      </c>
    </row>
    <row r="52" spans="1:12" ht="12.75">
      <c r="A52" s="239" t="s">
        <v>384</v>
      </c>
      <c r="B52" s="158">
        <v>6756000</v>
      </c>
      <c r="C52" s="308">
        <f>403100+1028100+428100</f>
        <v>1859300</v>
      </c>
      <c r="D52" s="158">
        <v>1102567</v>
      </c>
      <c r="E52" s="304">
        <f t="shared" si="0"/>
        <v>0.16319819419775014</v>
      </c>
      <c r="F52" s="307">
        <f>D52-'[7]Februāris'!D51</f>
        <v>430616</v>
      </c>
      <c r="G52" s="239" t="s">
        <v>384</v>
      </c>
      <c r="H52" s="305">
        <f t="shared" si="5"/>
        <v>6756</v>
      </c>
      <c r="I52" s="305">
        <f t="shared" si="5"/>
        <v>1859</v>
      </c>
      <c r="J52" s="305">
        <f t="shared" si="5"/>
        <v>1103</v>
      </c>
      <c r="K52" s="306">
        <f t="shared" si="1"/>
        <v>0.1632622853759621</v>
      </c>
      <c r="L52" s="305">
        <f>J52-'[7]Februāris'!J51</f>
        <v>431</v>
      </c>
    </row>
    <row r="53" spans="1:12" ht="12.75">
      <c r="A53" s="239" t="s">
        <v>385</v>
      </c>
      <c r="B53" s="158">
        <v>16380</v>
      </c>
      <c r="C53" s="308">
        <f>982+982+982</f>
        <v>2946</v>
      </c>
      <c r="D53" s="158">
        <v>11225</v>
      </c>
      <c r="E53" s="304">
        <f t="shared" si="0"/>
        <v>0.6852869352869353</v>
      </c>
      <c r="F53" s="307">
        <f>D53-'[7]Februāris'!D52</f>
        <v>2377</v>
      </c>
      <c r="G53" s="239" t="s">
        <v>385</v>
      </c>
      <c r="H53" s="305">
        <f t="shared" si="5"/>
        <v>16</v>
      </c>
      <c r="I53" s="305">
        <f t="shared" si="5"/>
        <v>3</v>
      </c>
      <c r="J53" s="305">
        <f t="shared" si="5"/>
        <v>11</v>
      </c>
      <c r="K53" s="306">
        <f t="shared" si="1"/>
        <v>0.6875</v>
      </c>
      <c r="L53" s="305">
        <f>J53-'[7]Februāris'!J52</f>
        <v>2</v>
      </c>
    </row>
    <row r="54" spans="1:12" ht="12.75">
      <c r="A54" s="239" t="s">
        <v>386</v>
      </c>
      <c r="B54" s="158">
        <f>B47-B49-B52+B53</f>
        <v>-6756000</v>
      </c>
      <c r="C54" s="308">
        <f>C47-C49-C52+C53</f>
        <v>-1859300</v>
      </c>
      <c r="D54" s="158">
        <f>D47-D49-D52+D53</f>
        <v>-1008576</v>
      </c>
      <c r="E54" s="304">
        <f t="shared" si="0"/>
        <v>0.14928596802841917</v>
      </c>
      <c r="F54" s="307">
        <f>D54-'[7]Februāris'!D53</f>
        <v>-431493</v>
      </c>
      <c r="G54" s="239" t="s">
        <v>386</v>
      </c>
      <c r="H54" s="305">
        <f t="shared" si="5"/>
        <v>-6756</v>
      </c>
      <c r="I54" s="305">
        <f t="shared" si="5"/>
        <v>-1859</v>
      </c>
      <c r="J54" s="305">
        <f t="shared" si="5"/>
        <v>-1009</v>
      </c>
      <c r="K54" s="306">
        <f t="shared" si="1"/>
        <v>0.14934872705743044</v>
      </c>
      <c r="L54" s="305">
        <f>J54-'[7]Februāris'!J53</f>
        <v>-432</v>
      </c>
    </row>
    <row r="55" spans="1:12" ht="12.75">
      <c r="A55" s="239" t="s">
        <v>387</v>
      </c>
      <c r="B55" s="158">
        <v>6756000</v>
      </c>
      <c r="C55" s="308">
        <f>403100+1028100+428100</f>
        <v>1859300</v>
      </c>
      <c r="D55" s="158">
        <v>1102568</v>
      </c>
      <c r="E55" s="304">
        <f t="shared" si="0"/>
        <v>0.163198342214328</v>
      </c>
      <c r="F55" s="307">
        <f>D55-'[7]Februāris'!D54</f>
        <v>430611</v>
      </c>
      <c r="G55" s="239" t="s">
        <v>387</v>
      </c>
      <c r="H55" s="305">
        <f t="shared" si="5"/>
        <v>6756</v>
      </c>
      <c r="I55" s="305">
        <f t="shared" si="5"/>
        <v>1859</v>
      </c>
      <c r="J55" s="305">
        <f>ROUND(D55/1000,0)-1</f>
        <v>1102</v>
      </c>
      <c r="K55" s="306">
        <f t="shared" si="1"/>
        <v>0.1631142687981054</v>
      </c>
      <c r="L55" s="305">
        <f>J55-'[7]Februāris'!J54</f>
        <v>430</v>
      </c>
    </row>
    <row r="56" spans="1:12" ht="12.75">
      <c r="A56" s="126" t="s">
        <v>128</v>
      </c>
      <c r="B56" s="6"/>
      <c r="C56" s="309"/>
      <c r="D56" s="6"/>
      <c r="E56" s="304" t="str">
        <f t="shared" si="0"/>
        <v> </v>
      </c>
      <c r="F56" s="303"/>
      <c r="G56" s="126" t="s">
        <v>128</v>
      </c>
      <c r="H56" s="248"/>
      <c r="I56" s="248"/>
      <c r="J56" s="248"/>
      <c r="K56" s="306"/>
      <c r="L56" s="248"/>
    </row>
    <row r="57" spans="1:12" ht="12.75">
      <c r="A57" s="201" t="s">
        <v>407</v>
      </c>
      <c r="B57" s="158"/>
      <c r="C57" s="308"/>
      <c r="D57" s="158"/>
      <c r="E57" s="304" t="str">
        <f t="shared" si="0"/>
        <v> </v>
      </c>
      <c r="F57" s="307"/>
      <c r="G57" s="201" t="s">
        <v>407</v>
      </c>
      <c r="H57" s="240"/>
      <c r="I57" s="240"/>
      <c r="J57" s="240"/>
      <c r="K57" s="306"/>
      <c r="L57" s="240"/>
    </row>
    <row r="58" spans="1:12" ht="12.75">
      <c r="A58" s="239" t="s">
        <v>389</v>
      </c>
      <c r="B58" s="308">
        <f>B59+B60</f>
        <v>500000</v>
      </c>
      <c r="C58" s="308">
        <v>153000</v>
      </c>
      <c r="D58" s="158">
        <f>D59+D60</f>
        <v>136517</v>
      </c>
      <c r="E58" s="304">
        <f t="shared" si="0"/>
        <v>0.273034</v>
      </c>
      <c r="F58" s="307">
        <f>F59+F60</f>
        <v>79650</v>
      </c>
      <c r="G58" s="239" t="s">
        <v>389</v>
      </c>
      <c r="H58" s="240">
        <f>H59+H60</f>
        <v>500</v>
      </c>
      <c r="I58" s="305">
        <f>ROUND(C58/1000,0)</f>
        <v>153</v>
      </c>
      <c r="J58" s="240">
        <f>J59+J60</f>
        <v>136</v>
      </c>
      <c r="K58" s="306">
        <f t="shared" si="1"/>
        <v>0.272</v>
      </c>
      <c r="L58" s="240">
        <f>L59+L60</f>
        <v>79</v>
      </c>
    </row>
    <row r="59" spans="1:12" ht="25.5">
      <c r="A59" s="119" t="s">
        <v>408</v>
      </c>
      <c r="B59" s="158">
        <v>300000</v>
      </c>
      <c r="C59" s="308"/>
      <c r="D59" s="158">
        <v>114972</v>
      </c>
      <c r="E59" s="304">
        <f t="shared" si="0"/>
        <v>0.38324</v>
      </c>
      <c r="F59" s="307">
        <f>D59-'[7]Februāris'!D58</f>
        <v>65632</v>
      </c>
      <c r="G59" s="119" t="s">
        <v>408</v>
      </c>
      <c r="H59" s="305">
        <f>ROUND(B59/1000,0)</f>
        <v>300</v>
      </c>
      <c r="I59" s="305">
        <f>ROUND(C59/1000,0)</f>
        <v>0</v>
      </c>
      <c r="J59" s="305">
        <f>ROUND(D59/1000,0)</f>
        <v>115</v>
      </c>
      <c r="K59" s="306">
        <f t="shared" si="1"/>
        <v>0.38333333333333336</v>
      </c>
      <c r="L59" s="305">
        <f>J59-'[7]Februāris'!J58</f>
        <v>66</v>
      </c>
    </row>
    <row r="60" spans="1:12" ht="12.75">
      <c r="A60" s="239" t="s">
        <v>409</v>
      </c>
      <c r="B60" s="158">
        <v>200000</v>
      </c>
      <c r="C60" s="308"/>
      <c r="D60" s="158">
        <f>6462+15083</f>
        <v>21545</v>
      </c>
      <c r="E60" s="304">
        <f t="shared" si="0"/>
        <v>0.107725</v>
      </c>
      <c r="F60" s="307">
        <f>D60-'[7]Februāris'!D59</f>
        <v>14018</v>
      </c>
      <c r="G60" s="119" t="s">
        <v>395</v>
      </c>
      <c r="H60" s="305">
        <f>ROUND(B60/1000,0)</f>
        <v>200</v>
      </c>
      <c r="I60" s="305">
        <f>ROUND(C60/1000,0)</f>
        <v>0</v>
      </c>
      <c r="J60" s="305">
        <f>ROUND(D60/1000,0)-1</f>
        <v>21</v>
      </c>
      <c r="K60" s="306">
        <f t="shared" si="1"/>
        <v>0.105</v>
      </c>
      <c r="L60" s="305">
        <f>J60-'[7]Februāris'!J59</f>
        <v>13</v>
      </c>
    </row>
    <row r="61" spans="1:12" ht="12.75">
      <c r="A61" s="239" t="s">
        <v>391</v>
      </c>
      <c r="B61" s="158">
        <f>B62+B63</f>
        <v>500000</v>
      </c>
      <c r="C61" s="308">
        <f>SUM(C62:C63)</f>
        <v>153000</v>
      </c>
      <c r="D61" s="158">
        <f>D62+D63</f>
        <v>90327</v>
      </c>
      <c r="E61" s="304">
        <f t="shared" si="0"/>
        <v>0.180654</v>
      </c>
      <c r="F61" s="307">
        <f>F62+F63</f>
        <v>64869</v>
      </c>
      <c r="G61" s="239" t="s">
        <v>391</v>
      </c>
      <c r="H61" s="240">
        <f>H62+H63</f>
        <v>500</v>
      </c>
      <c r="I61" s="240">
        <f>I62+I63</f>
        <v>153</v>
      </c>
      <c r="J61" s="240">
        <f>J62+J63</f>
        <v>90</v>
      </c>
      <c r="K61" s="306">
        <f t="shared" si="1"/>
        <v>0.18</v>
      </c>
      <c r="L61" s="240">
        <f>L62+L63</f>
        <v>65</v>
      </c>
    </row>
    <row r="62" spans="1:12" ht="12.75">
      <c r="A62" s="239" t="s">
        <v>392</v>
      </c>
      <c r="B62" s="158">
        <v>406000</v>
      </c>
      <c r="C62" s="308">
        <v>148700</v>
      </c>
      <c r="D62" s="158">
        <v>90327</v>
      </c>
      <c r="E62" s="304">
        <f t="shared" si="0"/>
        <v>0.22248029556650245</v>
      </c>
      <c r="F62" s="307">
        <f>D62-'[7]Februāris'!D61</f>
        <v>64869</v>
      </c>
      <c r="G62" s="239" t="s">
        <v>392</v>
      </c>
      <c r="H62" s="305">
        <f aca="true" t="shared" si="6" ref="H62:J63">ROUND(B62/1000,0)</f>
        <v>406</v>
      </c>
      <c r="I62" s="305">
        <f t="shared" si="6"/>
        <v>149</v>
      </c>
      <c r="J62" s="305">
        <f t="shared" si="6"/>
        <v>90</v>
      </c>
      <c r="K62" s="306">
        <f t="shared" si="1"/>
        <v>0.22167487684729065</v>
      </c>
      <c r="L62" s="305">
        <f>J62-'[7]Februāris'!J61</f>
        <v>65</v>
      </c>
    </row>
    <row r="63" spans="1:12" ht="12.75">
      <c r="A63" s="239" t="s">
        <v>383</v>
      </c>
      <c r="B63" s="158">
        <v>94000</v>
      </c>
      <c r="C63" s="308">
        <v>4300</v>
      </c>
      <c r="D63" s="158"/>
      <c r="E63" s="304">
        <f t="shared" si="0"/>
        <v>0</v>
      </c>
      <c r="F63" s="307">
        <f>D63-'[7]Februāris'!D62</f>
        <v>0</v>
      </c>
      <c r="G63" s="239" t="s">
        <v>383</v>
      </c>
      <c r="H63" s="305">
        <f t="shared" si="6"/>
        <v>94</v>
      </c>
      <c r="I63" s="305">
        <f t="shared" si="6"/>
        <v>4</v>
      </c>
      <c r="J63" s="305">
        <f t="shared" si="6"/>
        <v>0</v>
      </c>
      <c r="K63" s="306">
        <f t="shared" si="1"/>
        <v>0</v>
      </c>
      <c r="L63" s="305">
        <f>J63-'[7]Februāris'!J62</f>
        <v>0</v>
      </c>
    </row>
    <row r="64" spans="1:12" ht="12.75">
      <c r="A64" s="26" t="s">
        <v>129</v>
      </c>
      <c r="B64" s="6"/>
      <c r="C64" s="309"/>
      <c r="D64" s="6"/>
      <c r="E64" s="304" t="str">
        <f t="shared" si="0"/>
        <v> </v>
      </c>
      <c r="F64" s="303"/>
      <c r="G64" s="26" t="s">
        <v>129</v>
      </c>
      <c r="H64" s="305"/>
      <c r="I64" s="305"/>
      <c r="J64" s="305"/>
      <c r="K64" s="306"/>
      <c r="L64" s="305"/>
    </row>
    <row r="65" spans="1:12" ht="12.75">
      <c r="A65" s="201" t="s">
        <v>410</v>
      </c>
      <c r="B65" s="158"/>
      <c r="C65" s="308"/>
      <c r="D65" s="158"/>
      <c r="E65" s="304" t="str">
        <f t="shared" si="0"/>
        <v> </v>
      </c>
      <c r="F65" s="307"/>
      <c r="G65" s="201" t="s">
        <v>410</v>
      </c>
      <c r="H65" s="240"/>
      <c r="I65" s="240"/>
      <c r="J65" s="240"/>
      <c r="K65" s="306"/>
      <c r="L65" s="240"/>
    </row>
    <row r="66" spans="1:12" ht="12.75">
      <c r="A66" s="239" t="s">
        <v>389</v>
      </c>
      <c r="B66" s="158">
        <f>SUM(B67:B70)</f>
        <v>65221252</v>
      </c>
      <c r="C66" s="308">
        <v>14032466</v>
      </c>
      <c r="D66" s="158">
        <f>SUM(D67:D70)</f>
        <v>11959578</v>
      </c>
      <c r="E66" s="304">
        <f t="shared" si="0"/>
        <v>0.1833693410239963</v>
      </c>
      <c r="F66" s="307">
        <f>SUM(F67:F70)</f>
        <v>3951550</v>
      </c>
      <c r="G66" s="239" t="s">
        <v>389</v>
      </c>
      <c r="H66" s="240">
        <f>SUM(H67:H70)</f>
        <v>65221</v>
      </c>
      <c r="I66" s="305">
        <f>ROUND(C66/1000,0)+1</f>
        <v>14033</v>
      </c>
      <c r="J66" s="240">
        <f>SUM(J67:J70)</f>
        <v>11960</v>
      </c>
      <c r="K66" s="306">
        <f t="shared" si="1"/>
        <v>0.18337651983256925</v>
      </c>
      <c r="L66" s="240">
        <f>SUM(L67:L70)</f>
        <v>3952</v>
      </c>
    </row>
    <row r="67" spans="1:12" ht="12.75">
      <c r="A67" s="239" t="s">
        <v>411</v>
      </c>
      <c r="B67" s="158">
        <v>7800000</v>
      </c>
      <c r="C67" s="308"/>
      <c r="D67" s="158">
        <v>2226308</v>
      </c>
      <c r="E67" s="304">
        <f t="shared" si="0"/>
        <v>0.28542410256410256</v>
      </c>
      <c r="F67" s="307">
        <f>D67-'[7]Februāris'!D66</f>
        <v>819635</v>
      </c>
      <c r="G67" s="239" t="s">
        <v>411</v>
      </c>
      <c r="H67" s="305">
        <f aca="true" t="shared" si="7" ref="H67:J70">ROUND(B67/1000,0)</f>
        <v>7800</v>
      </c>
      <c r="I67" s="305">
        <f t="shared" si="7"/>
        <v>0</v>
      </c>
      <c r="J67" s="305">
        <f t="shared" si="7"/>
        <v>2226</v>
      </c>
      <c r="K67" s="306">
        <f t="shared" si="1"/>
        <v>0.2853846153846154</v>
      </c>
      <c r="L67" s="305">
        <f>J67-'[7]Februāris'!J66</f>
        <v>820</v>
      </c>
    </row>
    <row r="68" spans="1:12" ht="12.75">
      <c r="A68" s="239" t="s">
        <v>412</v>
      </c>
      <c r="B68" s="158">
        <v>54000000</v>
      </c>
      <c r="C68" s="308"/>
      <c r="D68" s="158">
        <v>9571596</v>
      </c>
      <c r="E68" s="304">
        <f t="shared" si="0"/>
        <v>0.17725177777777779</v>
      </c>
      <c r="F68" s="307">
        <f>D68-'[7]Februāris'!D67</f>
        <v>3128607</v>
      </c>
      <c r="G68" s="239" t="s">
        <v>412</v>
      </c>
      <c r="H68" s="305">
        <f t="shared" si="7"/>
        <v>54000</v>
      </c>
      <c r="I68" s="305">
        <f t="shared" si="7"/>
        <v>0</v>
      </c>
      <c r="J68" s="305">
        <f t="shared" si="7"/>
        <v>9572</v>
      </c>
      <c r="K68" s="306">
        <f t="shared" si="1"/>
        <v>0.17725925925925926</v>
      </c>
      <c r="L68" s="305">
        <f>J68-'[7]Februāris'!J67</f>
        <v>3129</v>
      </c>
    </row>
    <row r="69" spans="1:12" ht="12.75">
      <c r="A69" s="239" t="s">
        <v>319</v>
      </c>
      <c r="B69" s="158">
        <v>50000</v>
      </c>
      <c r="C69" s="308"/>
      <c r="D69" s="158">
        <v>6913</v>
      </c>
      <c r="E69" s="304">
        <f t="shared" si="0"/>
        <v>0.13826</v>
      </c>
      <c r="F69" s="307">
        <f>D69-'[7]Februāris'!D68</f>
        <v>3307</v>
      </c>
      <c r="G69" s="239" t="s">
        <v>319</v>
      </c>
      <c r="H69" s="305">
        <f t="shared" si="7"/>
        <v>50</v>
      </c>
      <c r="I69" s="305">
        <f t="shared" si="7"/>
        <v>0</v>
      </c>
      <c r="J69" s="305">
        <f t="shared" si="7"/>
        <v>7</v>
      </c>
      <c r="K69" s="306">
        <f t="shared" si="1"/>
        <v>0.14</v>
      </c>
      <c r="L69" s="305">
        <f>J69-'[7]Februāris'!J68</f>
        <v>3</v>
      </c>
    </row>
    <row r="70" spans="1:12" ht="12.75">
      <c r="A70" s="239" t="s">
        <v>413</v>
      </c>
      <c r="B70" s="158">
        <v>3371252</v>
      </c>
      <c r="C70" s="308"/>
      <c r="D70" s="158">
        <f>164479-9718</f>
        <v>154761</v>
      </c>
      <c r="E70" s="304">
        <f>IF(ISERROR(D70/B70)," ",(D70/B70))</f>
        <v>0.045906090674918396</v>
      </c>
      <c r="F70" s="307">
        <f>D70-'[7]Februāris'!D69</f>
        <v>1</v>
      </c>
      <c r="G70" s="239" t="s">
        <v>414</v>
      </c>
      <c r="H70" s="305">
        <f t="shared" si="7"/>
        <v>3371</v>
      </c>
      <c r="I70" s="305">
        <f t="shared" si="7"/>
        <v>0</v>
      </c>
      <c r="J70" s="305">
        <f t="shared" si="7"/>
        <v>155</v>
      </c>
      <c r="K70" s="306">
        <f>IF(ISERROR(ROUND(J70,0)/ROUND(H70,0))," ",(ROUND(J70,)/ROUND(H70,)))</f>
        <v>0.045980421239988134</v>
      </c>
      <c r="L70" s="305">
        <f>J70-'[7]Februāris'!J69</f>
        <v>0</v>
      </c>
    </row>
    <row r="71" spans="1:12" ht="12.75">
      <c r="A71" s="239" t="s">
        <v>391</v>
      </c>
      <c r="B71" s="158">
        <f>B72+B73</f>
        <v>70621252</v>
      </c>
      <c r="C71" s="308">
        <f>SUM(C72:C73)</f>
        <v>17392598</v>
      </c>
      <c r="D71" s="158">
        <f>D72+D73</f>
        <v>15207487</v>
      </c>
      <c r="E71" s="304">
        <f t="shared" si="0"/>
        <v>0.2153386773715085</v>
      </c>
      <c r="F71" s="307">
        <f>F72+F73</f>
        <v>4651357</v>
      </c>
      <c r="G71" s="239" t="s">
        <v>391</v>
      </c>
      <c r="H71" s="240">
        <f>H72+H73</f>
        <v>70621</v>
      </c>
      <c r="I71" s="240">
        <f>I72+I73</f>
        <v>17393</v>
      </c>
      <c r="J71" s="240">
        <f>J72+J73</f>
        <v>15207</v>
      </c>
      <c r="K71" s="306">
        <f t="shared" si="1"/>
        <v>0.2153325498081307</v>
      </c>
      <c r="L71" s="240">
        <f>L72+L73</f>
        <v>4651</v>
      </c>
    </row>
    <row r="72" spans="1:12" ht="12.75">
      <c r="A72" s="239" t="s">
        <v>392</v>
      </c>
      <c r="B72" s="158">
        <v>50450068</v>
      </c>
      <c r="C72" s="308">
        <v>14056800</v>
      </c>
      <c r="D72" s="158">
        <v>12051319</v>
      </c>
      <c r="E72" s="304">
        <f t="shared" si="0"/>
        <v>0.23887616960199143</v>
      </c>
      <c r="F72" s="307">
        <f>D72-'[7]Februāris'!D71</f>
        <v>3925283</v>
      </c>
      <c r="G72" s="239" t="s">
        <v>392</v>
      </c>
      <c r="H72" s="305">
        <f aca="true" t="shared" si="8" ref="H72:J75">ROUND(B72/1000,0)</f>
        <v>50450</v>
      </c>
      <c r="I72" s="305">
        <f t="shared" si="8"/>
        <v>14057</v>
      </c>
      <c r="J72" s="305">
        <f>ROUND(D72/1000,0)</f>
        <v>12051</v>
      </c>
      <c r="K72" s="306">
        <f t="shared" si="1"/>
        <v>0.23887016848364717</v>
      </c>
      <c r="L72" s="305">
        <f>J72-'[7]Februāris'!J71</f>
        <v>3925</v>
      </c>
    </row>
    <row r="73" spans="1:12" ht="12.75">
      <c r="A73" s="239" t="s">
        <v>383</v>
      </c>
      <c r="B73" s="158">
        <v>20171184</v>
      </c>
      <c r="C73" s="308">
        <v>3335798</v>
      </c>
      <c r="D73" s="158">
        <f>3165886-9718</f>
        <v>3156168</v>
      </c>
      <c r="E73" s="304">
        <f t="shared" si="0"/>
        <v>0.15646914925767372</v>
      </c>
      <c r="F73" s="307">
        <f>D73-'[7]Februāris'!D72</f>
        <v>726074</v>
      </c>
      <c r="G73" s="239" t="s">
        <v>415</v>
      </c>
      <c r="H73" s="305">
        <f t="shared" si="8"/>
        <v>20171</v>
      </c>
      <c r="I73" s="305">
        <f t="shared" si="8"/>
        <v>3336</v>
      </c>
      <c r="J73" s="305">
        <f t="shared" si="8"/>
        <v>3156</v>
      </c>
      <c r="K73" s="306">
        <f t="shared" si="1"/>
        <v>0.15646224778146844</v>
      </c>
      <c r="L73" s="305">
        <f>J73-'[7]Februāris'!J72</f>
        <v>726</v>
      </c>
    </row>
    <row r="74" spans="1:12" ht="12.75">
      <c r="A74" s="239" t="s">
        <v>386</v>
      </c>
      <c r="B74" s="158">
        <f>B66-B71</f>
        <v>-5400000</v>
      </c>
      <c r="C74" s="308">
        <f>C66-C71</f>
        <v>-3360132</v>
      </c>
      <c r="D74" s="158">
        <f>D66-D71</f>
        <v>-3247909</v>
      </c>
      <c r="E74" s="304">
        <f t="shared" si="0"/>
        <v>0.6014646296296297</v>
      </c>
      <c r="F74" s="307">
        <f>D74-'[7]Februāris'!D73</f>
        <v>-699807</v>
      </c>
      <c r="G74" s="239" t="s">
        <v>386</v>
      </c>
      <c r="H74" s="240">
        <f>H66-H71</f>
        <v>-5400</v>
      </c>
      <c r="I74" s="240">
        <f>I66-I71</f>
        <v>-3360</v>
      </c>
      <c r="J74" s="240">
        <f>J66-J71</f>
        <v>-3247</v>
      </c>
      <c r="K74" s="306">
        <f t="shared" si="1"/>
        <v>0.6012962962962963</v>
      </c>
      <c r="L74" s="305">
        <f>J74-'[7]Februāris'!J73</f>
        <v>-699</v>
      </c>
    </row>
    <row r="75" spans="1:12" ht="12.75">
      <c r="A75" s="239" t="s">
        <v>387</v>
      </c>
      <c r="B75" s="158">
        <v>5400000</v>
      </c>
      <c r="C75" s="308">
        <f>2590800+1007000-237668</f>
        <v>3360132</v>
      </c>
      <c r="D75" s="158">
        <f>3728875-583565</f>
        <v>3145310</v>
      </c>
      <c r="E75" s="304">
        <f t="shared" si="0"/>
        <v>0.5824648148148148</v>
      </c>
      <c r="F75" s="307">
        <f>D75-'[7]Februāris'!D74</f>
        <v>-186324</v>
      </c>
      <c r="G75" s="239" t="s">
        <v>387</v>
      </c>
      <c r="H75" s="305">
        <f t="shared" si="8"/>
        <v>5400</v>
      </c>
      <c r="I75" s="305">
        <f t="shared" si="8"/>
        <v>3360</v>
      </c>
      <c r="J75" s="305">
        <f t="shared" si="8"/>
        <v>3145</v>
      </c>
      <c r="K75" s="306">
        <f t="shared" si="1"/>
        <v>0.5824074074074074</v>
      </c>
      <c r="L75" s="305">
        <f>J75-'[7]Februāris'!J74</f>
        <v>-187</v>
      </c>
    </row>
    <row r="76" spans="1:12" ht="12.75">
      <c r="A76" s="201" t="s">
        <v>416</v>
      </c>
      <c r="B76" s="158"/>
      <c r="C76" s="308"/>
      <c r="D76" s="158"/>
      <c r="E76" s="304" t="str">
        <f aca="true" t="shared" si="9" ref="E76:E139">IF(ISERROR(D76/B76)," ",(D76/B76))</f>
        <v> </v>
      </c>
      <c r="F76" s="307"/>
      <c r="G76" s="201" t="s">
        <v>416</v>
      </c>
      <c r="H76" s="240"/>
      <c r="I76" s="240"/>
      <c r="J76" s="240"/>
      <c r="K76" s="306"/>
      <c r="L76" s="240"/>
    </row>
    <row r="77" spans="1:12" ht="12.75">
      <c r="A77" s="239" t="s">
        <v>389</v>
      </c>
      <c r="B77" s="158">
        <f>B78+B79</f>
        <v>500000</v>
      </c>
      <c r="C77" s="308">
        <v>163900</v>
      </c>
      <c r="D77" s="158">
        <f>D78+D79</f>
        <v>160719</v>
      </c>
      <c r="E77" s="304">
        <f t="shared" si="9"/>
        <v>0.321438</v>
      </c>
      <c r="F77" s="307">
        <f>F78+F79</f>
        <v>47099</v>
      </c>
      <c r="G77" s="239" t="s">
        <v>389</v>
      </c>
      <c r="H77" s="240">
        <f>H78+H79</f>
        <v>500</v>
      </c>
      <c r="I77" s="305">
        <f>ROUND(C77/1000,0)</f>
        <v>164</v>
      </c>
      <c r="J77" s="240">
        <f>J78+J79</f>
        <v>160</v>
      </c>
      <c r="K77" s="306">
        <f aca="true" t="shared" si="10" ref="K77:K140">IF(ISERROR(ROUND(J77,0)/ROUND(H77,0))," ",(ROUND(J77,)/ROUND(H77,)))</f>
        <v>0.32</v>
      </c>
      <c r="L77" s="240">
        <f>L78+L79</f>
        <v>46</v>
      </c>
    </row>
    <row r="78" spans="1:12" ht="12.75">
      <c r="A78" s="239" t="s">
        <v>417</v>
      </c>
      <c r="B78" s="158">
        <v>500000</v>
      </c>
      <c r="C78" s="308"/>
      <c r="D78" s="158">
        <v>158405</v>
      </c>
      <c r="E78" s="304">
        <f t="shared" si="9"/>
        <v>0.31681</v>
      </c>
      <c r="F78" s="307">
        <f>D78-'[7]Februāris'!D77</f>
        <v>47808</v>
      </c>
      <c r="G78" s="239" t="s">
        <v>417</v>
      </c>
      <c r="H78" s="305">
        <f>ROUND(B78/1000,0)</f>
        <v>500</v>
      </c>
      <c r="I78" s="305">
        <f>ROUND(C78/1000,0)</f>
        <v>0</v>
      </c>
      <c r="J78" s="305">
        <f>ROUND(D78/1000,0)</f>
        <v>158</v>
      </c>
      <c r="K78" s="306">
        <f t="shared" si="10"/>
        <v>0.316</v>
      </c>
      <c r="L78" s="305">
        <f>J78-'[7]Februāris'!J77</f>
        <v>47</v>
      </c>
    </row>
    <row r="79" spans="1:12" ht="12.75">
      <c r="A79" s="239" t="s">
        <v>395</v>
      </c>
      <c r="B79" s="158"/>
      <c r="C79" s="308"/>
      <c r="D79" s="158">
        <v>2314</v>
      </c>
      <c r="E79" s="304" t="str">
        <f t="shared" si="9"/>
        <v> </v>
      </c>
      <c r="F79" s="307">
        <f>D79-'[7]Februāris'!D78</f>
        <v>-709</v>
      </c>
      <c r="G79" s="239" t="s">
        <v>395</v>
      </c>
      <c r="H79" s="305">
        <f>ROUND(B79/1000,0)</f>
        <v>0</v>
      </c>
      <c r="I79" s="305">
        <f>ROUND(C79/1000,0)</f>
        <v>0</v>
      </c>
      <c r="J79" s="305">
        <f>ROUND(D79/1000,0)</f>
        <v>2</v>
      </c>
      <c r="K79" s="306" t="str">
        <f t="shared" si="10"/>
        <v> </v>
      </c>
      <c r="L79" s="305">
        <f>J79-'[7]Februāris'!J78</f>
        <v>-1</v>
      </c>
    </row>
    <row r="80" spans="1:12" ht="12.75">
      <c r="A80" s="239" t="s">
        <v>391</v>
      </c>
      <c r="B80" s="158">
        <f>B81+B82</f>
        <v>500000</v>
      </c>
      <c r="C80" s="308">
        <f>SUM(C81:C82)</f>
        <v>163900</v>
      </c>
      <c r="D80" s="158">
        <f>D81+D82</f>
        <v>132998</v>
      </c>
      <c r="E80" s="304">
        <f t="shared" si="9"/>
        <v>0.265996</v>
      </c>
      <c r="F80" s="307">
        <f>F81+F82</f>
        <v>69154</v>
      </c>
      <c r="G80" s="239" t="s">
        <v>391</v>
      </c>
      <c r="H80" s="240">
        <f>H81+H82</f>
        <v>500</v>
      </c>
      <c r="I80" s="240">
        <f>I81+I82</f>
        <v>164</v>
      </c>
      <c r="J80" s="240">
        <f>J81+J82</f>
        <v>133</v>
      </c>
      <c r="K80" s="306">
        <f t="shared" si="10"/>
        <v>0.266</v>
      </c>
      <c r="L80" s="240">
        <f>L81+L82</f>
        <v>69</v>
      </c>
    </row>
    <row r="81" spans="1:12" ht="12.75">
      <c r="A81" s="239" t="s">
        <v>392</v>
      </c>
      <c r="B81" s="158">
        <v>350000</v>
      </c>
      <c r="C81" s="308">
        <v>123900</v>
      </c>
      <c r="D81" s="158">
        <v>121618</v>
      </c>
      <c r="E81" s="304">
        <f t="shared" si="9"/>
        <v>0.34748</v>
      </c>
      <c r="F81" s="307">
        <f>D81-'[7]Februāris'!D80</f>
        <v>69153</v>
      </c>
      <c r="G81" s="239" t="s">
        <v>392</v>
      </c>
      <c r="H81" s="305">
        <f aca="true" t="shared" si="11" ref="H81:J82">ROUND(B81/1000,0)</f>
        <v>350</v>
      </c>
      <c r="I81" s="305">
        <f t="shared" si="11"/>
        <v>124</v>
      </c>
      <c r="J81" s="305">
        <f t="shared" si="11"/>
        <v>122</v>
      </c>
      <c r="K81" s="306">
        <f t="shared" si="10"/>
        <v>0.3485714285714286</v>
      </c>
      <c r="L81" s="305">
        <f>J81-'[7]Februāris'!J80</f>
        <v>69</v>
      </c>
    </row>
    <row r="82" spans="1:12" ht="12.75">
      <c r="A82" s="239" t="s">
        <v>383</v>
      </c>
      <c r="B82" s="158">
        <v>150000</v>
      </c>
      <c r="C82" s="308">
        <v>40000</v>
      </c>
      <c r="D82" s="158">
        <v>11380</v>
      </c>
      <c r="E82" s="304">
        <f t="shared" si="9"/>
        <v>0.07586666666666667</v>
      </c>
      <c r="F82" s="307">
        <f>D82-'[7]Februāris'!D81</f>
        <v>1</v>
      </c>
      <c r="G82" s="239" t="s">
        <v>383</v>
      </c>
      <c r="H82" s="305">
        <f t="shared" si="11"/>
        <v>150</v>
      </c>
      <c r="I82" s="305">
        <f t="shared" si="11"/>
        <v>40</v>
      </c>
      <c r="J82" s="305">
        <f t="shared" si="11"/>
        <v>11</v>
      </c>
      <c r="K82" s="306">
        <f t="shared" si="10"/>
        <v>0.07333333333333333</v>
      </c>
      <c r="L82" s="305">
        <f>J82-'[7]Februāris'!J81</f>
        <v>0</v>
      </c>
    </row>
    <row r="83" spans="1:12" ht="12.75">
      <c r="A83" s="201" t="s">
        <v>418</v>
      </c>
      <c r="B83" s="158"/>
      <c r="C83" s="308"/>
      <c r="D83" s="158"/>
      <c r="E83" s="304" t="str">
        <f t="shared" si="9"/>
        <v> </v>
      </c>
      <c r="F83" s="307"/>
      <c r="G83" s="201" t="s">
        <v>418</v>
      </c>
      <c r="H83" s="240"/>
      <c r="I83" s="240"/>
      <c r="J83" s="240"/>
      <c r="K83" s="306"/>
      <c r="L83" s="240"/>
    </row>
    <row r="84" spans="1:12" ht="12.75">
      <c r="A84" s="239" t="s">
        <v>389</v>
      </c>
      <c r="B84" s="158">
        <v>2000000</v>
      </c>
      <c r="C84" s="308">
        <v>1565000</v>
      </c>
      <c r="D84" s="158">
        <v>589601</v>
      </c>
      <c r="E84" s="304">
        <f t="shared" si="9"/>
        <v>0.2948005</v>
      </c>
      <c r="F84" s="307">
        <f>D84-'[7]Februāris'!D83</f>
        <v>118282</v>
      </c>
      <c r="G84" s="239" t="s">
        <v>389</v>
      </c>
      <c r="H84" s="305">
        <f>ROUND(B84/1000,0)</f>
        <v>2000</v>
      </c>
      <c r="I84" s="305">
        <f>ROUND(C84/1000,0)</f>
        <v>1565</v>
      </c>
      <c r="J84" s="305">
        <f>ROUND(D84/1000,0)</f>
        <v>590</v>
      </c>
      <c r="K84" s="306">
        <f t="shared" si="10"/>
        <v>0.295</v>
      </c>
      <c r="L84" s="305">
        <f>J84-'[7]Februāris'!J83</f>
        <v>119</v>
      </c>
    </row>
    <row r="85" spans="1:12" ht="12.75">
      <c r="A85" s="239" t="s">
        <v>391</v>
      </c>
      <c r="B85" s="158">
        <f>B86</f>
        <v>2000000</v>
      </c>
      <c r="C85" s="308">
        <f>SUM(C86)</f>
        <v>1565000</v>
      </c>
      <c r="D85" s="158">
        <f>D86</f>
        <v>1563770</v>
      </c>
      <c r="E85" s="304">
        <f t="shared" si="9"/>
        <v>0.781885</v>
      </c>
      <c r="F85" s="307">
        <f>F86</f>
        <v>385482</v>
      </c>
      <c r="G85" s="239" t="s">
        <v>391</v>
      </c>
      <c r="H85" s="240">
        <f>H86</f>
        <v>2000</v>
      </c>
      <c r="I85" s="240">
        <f>I86</f>
        <v>1565</v>
      </c>
      <c r="J85" s="240">
        <f>J86</f>
        <v>1564</v>
      </c>
      <c r="K85" s="306">
        <f t="shared" si="10"/>
        <v>0.782</v>
      </c>
      <c r="L85" s="240">
        <f>L86</f>
        <v>386</v>
      </c>
    </row>
    <row r="86" spans="1:12" ht="12.75">
      <c r="A86" s="239" t="s">
        <v>383</v>
      </c>
      <c r="B86" s="158">
        <v>2000000</v>
      </c>
      <c r="C86" s="308">
        <v>1565000</v>
      </c>
      <c r="D86" s="158">
        <v>1563770</v>
      </c>
      <c r="E86" s="304">
        <f t="shared" si="9"/>
        <v>0.781885</v>
      </c>
      <c r="F86" s="307">
        <f>D86-'[7]Februāris'!D85</f>
        <v>385482</v>
      </c>
      <c r="G86" s="239" t="s">
        <v>383</v>
      </c>
      <c r="H86" s="305">
        <f aca="true" t="shared" si="12" ref="H86:J87">ROUND(B86/1000,0)</f>
        <v>2000</v>
      </c>
      <c r="I86" s="305">
        <f t="shared" si="12"/>
        <v>1565</v>
      </c>
      <c r="J86" s="305">
        <f t="shared" si="12"/>
        <v>1564</v>
      </c>
      <c r="K86" s="306">
        <f t="shared" si="10"/>
        <v>0.782</v>
      </c>
      <c r="L86" s="305">
        <f>J86-'[7]Februāris'!J85</f>
        <v>386</v>
      </c>
    </row>
    <row r="87" spans="1:12" ht="12.75">
      <c r="A87" s="239" t="s">
        <v>419</v>
      </c>
      <c r="B87" s="158">
        <v>0</v>
      </c>
      <c r="C87" s="308"/>
      <c r="D87" s="158">
        <v>1000000</v>
      </c>
      <c r="E87" s="304" t="str">
        <f t="shared" si="9"/>
        <v> </v>
      </c>
      <c r="F87" s="307">
        <f>D87-'[7]Februāris'!D86</f>
        <v>300000</v>
      </c>
      <c r="G87" s="239" t="s">
        <v>419</v>
      </c>
      <c r="H87" s="305">
        <f t="shared" si="12"/>
        <v>0</v>
      </c>
      <c r="I87" s="305">
        <f t="shared" si="12"/>
        <v>0</v>
      </c>
      <c r="J87" s="305">
        <f t="shared" si="12"/>
        <v>1000</v>
      </c>
      <c r="K87" s="306" t="str">
        <f t="shared" si="10"/>
        <v> </v>
      </c>
      <c r="L87" s="305">
        <f>J87-'[7]Februāris'!J86</f>
        <v>300</v>
      </c>
    </row>
    <row r="88" spans="1:12" ht="12.75">
      <c r="A88" s="26" t="s">
        <v>130</v>
      </c>
      <c r="B88" s="158"/>
      <c r="C88" s="308"/>
      <c r="D88" s="158"/>
      <c r="E88" s="304" t="str">
        <f t="shared" si="9"/>
        <v> </v>
      </c>
      <c r="F88" s="307"/>
      <c r="G88" s="26" t="s">
        <v>130</v>
      </c>
      <c r="H88" s="240"/>
      <c r="I88" s="240"/>
      <c r="J88" s="240"/>
      <c r="K88" s="306"/>
      <c r="L88" s="240"/>
    </row>
    <row r="89" spans="1:12" ht="12.75">
      <c r="A89" s="201" t="s">
        <v>420</v>
      </c>
      <c r="B89" s="158"/>
      <c r="C89" s="308"/>
      <c r="D89" s="158"/>
      <c r="E89" s="304" t="str">
        <f t="shared" si="9"/>
        <v> </v>
      </c>
      <c r="F89" s="307"/>
      <c r="G89" s="201" t="s">
        <v>420</v>
      </c>
      <c r="H89" s="240"/>
      <c r="I89" s="240"/>
      <c r="J89" s="240"/>
      <c r="K89" s="306"/>
      <c r="L89" s="240"/>
    </row>
    <row r="90" spans="1:12" ht="12.75">
      <c r="A90" s="239" t="s">
        <v>389</v>
      </c>
      <c r="B90" s="158">
        <f>SUM(B91:B93)</f>
        <v>131491628</v>
      </c>
      <c r="C90" s="308">
        <v>30189102</v>
      </c>
      <c r="D90" s="158">
        <f>SUM(D91:D93)</f>
        <v>29487680</v>
      </c>
      <c r="E90" s="304">
        <f t="shared" si="9"/>
        <v>0.22425518984372145</v>
      </c>
      <c r="F90" s="307">
        <f>SUM(F91:F93)</f>
        <v>10319323</v>
      </c>
      <c r="G90" s="239" t="s">
        <v>389</v>
      </c>
      <c r="H90" s="240">
        <f>SUM(H91:H93)</f>
        <v>131491</v>
      </c>
      <c r="I90" s="240">
        <f>ROUND(C90/1000,0)</f>
        <v>30189</v>
      </c>
      <c r="J90" s="240">
        <f>SUM(J91:J93)</f>
        <v>29487</v>
      </c>
      <c r="K90" s="306">
        <f aca="true" t="shared" si="13" ref="K90:K97">IF(ISERROR(ROUND(J90,0)/ROUND(H90,0))," ",(ROUND(J90,)/ROUND(H90,)))</f>
        <v>0.2242510894281738</v>
      </c>
      <c r="L90" s="240">
        <f>SUM(L91:L93)</f>
        <v>10318</v>
      </c>
    </row>
    <row r="91" spans="1:12" ht="12.75">
      <c r="A91" s="239" t="s">
        <v>421</v>
      </c>
      <c r="B91" s="158">
        <v>74152400</v>
      </c>
      <c r="C91" s="308"/>
      <c r="D91" s="158">
        <v>16820421</v>
      </c>
      <c r="E91" s="304">
        <f t="shared" si="9"/>
        <v>0.22683582729621699</v>
      </c>
      <c r="F91" s="307">
        <f>D91-'[7]Februāris'!D90</f>
        <v>5957279</v>
      </c>
      <c r="G91" s="239" t="s">
        <v>421</v>
      </c>
      <c r="H91" s="240">
        <f>ROUND(B91/1000,0)</f>
        <v>74152</v>
      </c>
      <c r="I91" s="240">
        <f>ROUND(C91/1000,0)</f>
        <v>0</v>
      </c>
      <c r="J91" s="240">
        <f>ROUND(D91/1000,0)</f>
        <v>16820</v>
      </c>
      <c r="K91" s="306">
        <f t="shared" si="13"/>
        <v>0.22683137339518827</v>
      </c>
      <c r="L91" s="305">
        <f>J91-'[7]Februāris'!J90</f>
        <v>5957</v>
      </c>
    </row>
    <row r="92" spans="1:12" ht="12.75">
      <c r="A92" s="239" t="s">
        <v>422</v>
      </c>
      <c r="B92" s="158">
        <v>53376928</v>
      </c>
      <c r="C92" s="308"/>
      <c r="D92" s="158">
        <v>12220459</v>
      </c>
      <c r="E92" s="304">
        <f t="shared" si="9"/>
        <v>0.22894646540917454</v>
      </c>
      <c r="F92" s="307">
        <f>D92-'[7]Februāris'!D91</f>
        <v>4051878</v>
      </c>
      <c r="G92" s="239" t="s">
        <v>422</v>
      </c>
      <c r="H92" s="240">
        <f>ROUND(B92/1000,0)</f>
        <v>53377</v>
      </c>
      <c r="I92" s="240">
        <f>ROUND(C92/1000,0)</f>
        <v>0</v>
      </c>
      <c r="J92" s="240">
        <f>ROUND(D92/1000,0)</f>
        <v>12220</v>
      </c>
      <c r="K92" s="306">
        <f t="shared" si="13"/>
        <v>0.2289375573748993</v>
      </c>
      <c r="L92" s="305">
        <f>J92-'[7]Februāris'!J91</f>
        <v>4051</v>
      </c>
    </row>
    <row r="93" spans="1:12" ht="12.75">
      <c r="A93" s="239" t="s">
        <v>319</v>
      </c>
      <c r="B93" s="158">
        <v>3962300</v>
      </c>
      <c r="C93" s="308"/>
      <c r="D93" s="158">
        <v>446800</v>
      </c>
      <c r="E93" s="304">
        <f t="shared" si="9"/>
        <v>0.11276278928904929</v>
      </c>
      <c r="F93" s="307">
        <f>D93-'[7]Februāris'!D92</f>
        <v>310166</v>
      </c>
      <c r="G93" s="239" t="s">
        <v>319</v>
      </c>
      <c r="H93" s="240">
        <f>ROUND(B93/1000,0)</f>
        <v>3962</v>
      </c>
      <c r="I93" s="240">
        <f>ROUND(C93/1000,0)</f>
        <v>0</v>
      </c>
      <c r="J93" s="240">
        <f>ROUND(D93/1000,0)</f>
        <v>447</v>
      </c>
      <c r="K93" s="306">
        <f t="shared" si="13"/>
        <v>0.11282180716809692</v>
      </c>
      <c r="L93" s="305">
        <f>J93-'[7]Februāris'!J92</f>
        <v>310</v>
      </c>
    </row>
    <row r="94" spans="1:12" ht="12.75">
      <c r="A94" s="239" t="s">
        <v>391</v>
      </c>
      <c r="B94" s="158">
        <f>SUM(B95:B96)</f>
        <v>135680628</v>
      </c>
      <c r="C94" s="308">
        <f>SUM(C95:C96)</f>
        <v>34086453</v>
      </c>
      <c r="D94" s="158">
        <f>SUM(D95:D96)</f>
        <v>29170217</v>
      </c>
      <c r="E94" s="304">
        <f t="shared" si="9"/>
        <v>0.2149917599143188</v>
      </c>
      <c r="F94" s="307">
        <f>SUM(F95:F96)</f>
        <v>10321392</v>
      </c>
      <c r="G94" s="239" t="s">
        <v>391</v>
      </c>
      <c r="H94" s="240">
        <f>SUM(H95:H96)</f>
        <v>135681</v>
      </c>
      <c r="I94" s="240">
        <f>SUM(I95:I96)</f>
        <v>34087</v>
      </c>
      <c r="J94" s="240">
        <f>SUM(J95:J96)</f>
        <v>29170</v>
      </c>
      <c r="K94" s="306">
        <f t="shared" si="13"/>
        <v>0.21498957112639205</v>
      </c>
      <c r="L94" s="240">
        <f>SUM(L95:L96)</f>
        <v>10321</v>
      </c>
    </row>
    <row r="95" spans="1:12" ht="12.75">
      <c r="A95" s="239" t="s">
        <v>392</v>
      </c>
      <c r="B95" s="158">
        <v>130203128</v>
      </c>
      <c r="C95" s="308">
        <v>31337853</v>
      </c>
      <c r="D95" s="158">
        <v>29057056</v>
      </c>
      <c r="E95" s="304">
        <f t="shared" si="9"/>
        <v>0.22316711162269465</v>
      </c>
      <c r="F95" s="307">
        <f>D95-'[7]Februāris'!D94</f>
        <v>10289826</v>
      </c>
      <c r="G95" s="239" t="s">
        <v>392</v>
      </c>
      <c r="H95" s="240">
        <f aca="true" t="shared" si="14" ref="H95:J98">ROUND(B95/1000,0)</f>
        <v>130203</v>
      </c>
      <c r="I95" s="240">
        <f t="shared" si="14"/>
        <v>31338</v>
      </c>
      <c r="J95" s="240">
        <f t="shared" si="14"/>
        <v>29057</v>
      </c>
      <c r="K95" s="306">
        <f t="shared" si="13"/>
        <v>0.22316690091626154</v>
      </c>
      <c r="L95" s="305">
        <f>J95-'[7]Februāris'!J94</f>
        <v>10290</v>
      </c>
    </row>
    <row r="96" spans="1:12" ht="12.75">
      <c r="A96" s="239" t="s">
        <v>383</v>
      </c>
      <c r="B96" s="158">
        <v>5477500</v>
      </c>
      <c r="C96" s="308">
        <v>2748600</v>
      </c>
      <c r="D96" s="158">
        <v>113161</v>
      </c>
      <c r="E96" s="304">
        <f t="shared" si="9"/>
        <v>0.020659242355089</v>
      </c>
      <c r="F96" s="307">
        <f>D96-'[7]Februāris'!D95</f>
        <v>31566</v>
      </c>
      <c r="G96" s="239" t="s">
        <v>383</v>
      </c>
      <c r="H96" s="240">
        <f t="shared" si="14"/>
        <v>5478</v>
      </c>
      <c r="I96" s="240">
        <f t="shared" si="14"/>
        <v>2749</v>
      </c>
      <c r="J96" s="240">
        <f t="shared" si="14"/>
        <v>113</v>
      </c>
      <c r="K96" s="306">
        <f t="shared" si="13"/>
        <v>0.02062796641109894</v>
      </c>
      <c r="L96" s="305">
        <f>J96-'[7]Februāris'!J95</f>
        <v>31</v>
      </c>
    </row>
    <row r="97" spans="1:12" ht="12.75">
      <c r="A97" s="239" t="s">
        <v>386</v>
      </c>
      <c r="B97" s="158">
        <f>SUM(B90-B94)</f>
        <v>-4189000</v>
      </c>
      <c r="C97" s="308">
        <f>SUM(C90-C94)</f>
        <v>-3897351</v>
      </c>
      <c r="D97" s="158">
        <f>SUM(D90-D94)</f>
        <v>317463</v>
      </c>
      <c r="E97" s="304">
        <f t="shared" si="9"/>
        <v>-0.0757849128670327</v>
      </c>
      <c r="F97" s="307">
        <f>D97-'[7]Februāris'!D96</f>
        <v>-2069</v>
      </c>
      <c r="G97" s="239" t="s">
        <v>386</v>
      </c>
      <c r="H97" s="240">
        <f>SUM(H90-H94)</f>
        <v>-4190</v>
      </c>
      <c r="I97" s="240">
        <f>SUM(I90-I94)</f>
        <v>-3898</v>
      </c>
      <c r="J97" s="240">
        <f>SUM(J90-J94)</f>
        <v>317</v>
      </c>
      <c r="K97" s="306">
        <f t="shared" si="13"/>
        <v>-0.0756563245823389</v>
      </c>
      <c r="L97" s="305">
        <f>J97-'[7]Februāris'!J96</f>
        <v>-3</v>
      </c>
    </row>
    <row r="98" spans="1:12" ht="12.75">
      <c r="A98" s="239" t="s">
        <v>387</v>
      </c>
      <c r="B98" s="158">
        <v>4189000</v>
      </c>
      <c r="C98" s="308">
        <f>1720000+980000</f>
        <v>2700000</v>
      </c>
      <c r="D98" s="158">
        <v>92916</v>
      </c>
      <c r="E98" s="304">
        <f t="shared" si="9"/>
        <v>0.022180950107424206</v>
      </c>
      <c r="F98" s="307">
        <f>D98-'[7]Februāris'!D97</f>
        <v>28721</v>
      </c>
      <c r="G98" s="239" t="s">
        <v>387</v>
      </c>
      <c r="H98" s="240">
        <f>ROUND(B98/1000,0)</f>
        <v>4189</v>
      </c>
      <c r="I98" s="240">
        <f t="shared" si="14"/>
        <v>2700</v>
      </c>
      <c r="J98" s="240">
        <f>ROUND(D98/1000,0)</f>
        <v>93</v>
      </c>
      <c r="K98" s="306"/>
      <c r="L98" s="305">
        <f>J98-'[7]Februāris'!J97</f>
        <v>29</v>
      </c>
    </row>
    <row r="99" spans="1:12" ht="12.75">
      <c r="A99" s="201" t="s">
        <v>423</v>
      </c>
      <c r="B99" s="158"/>
      <c r="C99" s="308"/>
      <c r="D99" s="158"/>
      <c r="E99" s="304" t="str">
        <f t="shared" si="9"/>
        <v> </v>
      </c>
      <c r="F99" s="307"/>
      <c r="G99" s="201" t="s">
        <v>423</v>
      </c>
      <c r="H99" s="240"/>
      <c r="I99" s="240"/>
      <c r="J99" s="240"/>
      <c r="K99" s="306"/>
      <c r="L99" s="240"/>
    </row>
    <row r="100" spans="1:12" ht="12.75">
      <c r="A100" s="239" t="s">
        <v>389</v>
      </c>
      <c r="B100" s="158">
        <f>SUM(B101:B103)</f>
        <v>481062040</v>
      </c>
      <c r="C100" s="308">
        <f>36421481+35990428+38712123</f>
        <v>111124032</v>
      </c>
      <c r="D100" s="158">
        <f>SUM(D101:D103)</f>
        <v>111921476</v>
      </c>
      <c r="E100" s="304">
        <f t="shared" si="9"/>
        <v>0.23265497315065642</v>
      </c>
      <c r="F100" s="307">
        <f>SUM(F101:F103)</f>
        <v>39476140</v>
      </c>
      <c r="G100" s="239" t="s">
        <v>389</v>
      </c>
      <c r="H100" s="240">
        <f>SUM(H101:H103)</f>
        <v>481062</v>
      </c>
      <c r="I100" s="305">
        <f aca="true" t="shared" si="15" ref="H100:J103">ROUND(C100/1000,0)</f>
        <v>111124</v>
      </c>
      <c r="J100" s="240">
        <f>SUM(J101:J103)</f>
        <v>111922</v>
      </c>
      <c r="K100" s="306">
        <f t="shared" si="10"/>
        <v>0.23265608175245603</v>
      </c>
      <c r="L100" s="305">
        <f>SUM(L101:L103)</f>
        <v>39478</v>
      </c>
    </row>
    <row r="101" spans="1:12" ht="12.75">
      <c r="A101" s="315" t="s">
        <v>424</v>
      </c>
      <c r="B101" s="172">
        <v>473580496</v>
      </c>
      <c r="C101" s="316"/>
      <c r="D101" s="172">
        <v>110047752</v>
      </c>
      <c r="E101" s="304">
        <f t="shared" si="9"/>
        <v>0.23237391093910253</v>
      </c>
      <c r="F101" s="307">
        <f>D101-'[7]Februāris'!D100</f>
        <v>38917394</v>
      </c>
      <c r="G101" s="239" t="s">
        <v>424</v>
      </c>
      <c r="H101" s="305">
        <f t="shared" si="15"/>
        <v>473580</v>
      </c>
      <c r="I101" s="305">
        <f t="shared" si="15"/>
        <v>0</v>
      </c>
      <c r="J101" s="305">
        <f t="shared" si="15"/>
        <v>110048</v>
      </c>
      <c r="K101" s="306">
        <f t="shared" si="10"/>
        <v>0.2323746779847122</v>
      </c>
      <c r="L101" s="305">
        <f>J101-'[7]Februāris'!J100</f>
        <v>38918</v>
      </c>
    </row>
    <row r="102" spans="1:12" ht="12.75">
      <c r="A102" s="315" t="s">
        <v>425</v>
      </c>
      <c r="B102" s="172">
        <v>6036630</v>
      </c>
      <c r="C102" s="316"/>
      <c r="D102" s="172">
        <v>1381864</v>
      </c>
      <c r="E102" s="304">
        <f t="shared" si="9"/>
        <v>0.228913151874473</v>
      </c>
      <c r="F102" s="307">
        <f>D102-'[7]Februāris'!D101</f>
        <v>504369</v>
      </c>
      <c r="G102" s="239" t="s">
        <v>425</v>
      </c>
      <c r="H102" s="305">
        <f t="shared" si="15"/>
        <v>6037</v>
      </c>
      <c r="I102" s="305">
        <f t="shared" si="15"/>
        <v>0</v>
      </c>
      <c r="J102" s="305">
        <f t="shared" si="15"/>
        <v>1382</v>
      </c>
      <c r="K102" s="306">
        <f t="shared" si="10"/>
        <v>0.22892164982607255</v>
      </c>
      <c r="L102" s="305">
        <f>J102-'[7]Februāris'!J101</f>
        <v>505</v>
      </c>
    </row>
    <row r="103" spans="1:12" ht="12.75">
      <c r="A103" s="315" t="s">
        <v>426</v>
      </c>
      <c r="B103" s="172">
        <f>481062040-473580496-6036630</f>
        <v>1444914</v>
      </c>
      <c r="C103" s="316"/>
      <c r="D103" s="172">
        <f>1873724-1381864</f>
        <v>491860</v>
      </c>
      <c r="E103" s="304">
        <f t="shared" si="9"/>
        <v>0.3404078028173303</v>
      </c>
      <c r="F103" s="307">
        <f>D103-'[7]Februāris'!D102</f>
        <v>54377</v>
      </c>
      <c r="G103" s="239" t="s">
        <v>426</v>
      </c>
      <c r="H103" s="305">
        <f t="shared" si="15"/>
        <v>1445</v>
      </c>
      <c r="I103" s="305">
        <f t="shared" si="15"/>
        <v>0</v>
      </c>
      <c r="J103" s="305">
        <f>ROUND(D103/1000,0)</f>
        <v>492</v>
      </c>
      <c r="K103" s="306">
        <f t="shared" si="10"/>
        <v>0.34048442906574394</v>
      </c>
      <c r="L103" s="305">
        <f>J103-'[7]Februāris'!J102</f>
        <v>55</v>
      </c>
    </row>
    <row r="104" spans="1:12" ht="12.75">
      <c r="A104" s="239" t="s">
        <v>427</v>
      </c>
      <c r="B104" s="158">
        <f>SUM(B105:B106)</f>
        <v>516531015</v>
      </c>
      <c r="C104" s="308">
        <f>SUM(C105:C106)</f>
        <v>138807340</v>
      </c>
      <c r="D104" s="158">
        <f>SUM(D105:D106)</f>
        <v>127596410</v>
      </c>
      <c r="E104" s="304">
        <f t="shared" si="9"/>
        <v>0.24702565053136258</v>
      </c>
      <c r="F104" s="307">
        <f>SUM(F105:F106)</f>
        <v>43826584</v>
      </c>
      <c r="G104" s="239" t="s">
        <v>428</v>
      </c>
      <c r="H104" s="158">
        <f>SUM(H105:H106)</f>
        <v>516531</v>
      </c>
      <c r="I104" s="158">
        <f>SUM(I105:I106)</f>
        <v>138808</v>
      </c>
      <c r="J104" s="158">
        <f>SUM(J105:J106)</f>
        <v>127596</v>
      </c>
      <c r="K104" s="306">
        <f t="shared" si="10"/>
        <v>0.24702486394814638</v>
      </c>
      <c r="L104" s="240">
        <f>SUM(L105:L106)</f>
        <v>43826</v>
      </c>
    </row>
    <row r="105" spans="1:12" ht="12.75">
      <c r="A105" s="239" t="s">
        <v>392</v>
      </c>
      <c r="B105" s="158">
        <v>512300015</v>
      </c>
      <c r="C105" s="308">
        <f>44756608+44996802+48047117</f>
        <v>137800527</v>
      </c>
      <c r="D105" s="158">
        <v>127110266</v>
      </c>
      <c r="E105" s="304">
        <f t="shared" si="9"/>
        <v>0.2481168500453782</v>
      </c>
      <c r="F105" s="307">
        <f>D105-'[7]Februāris'!D104</f>
        <v>43806641</v>
      </c>
      <c r="G105" s="239" t="s">
        <v>392</v>
      </c>
      <c r="H105" s="305">
        <f aca="true" t="shared" si="16" ref="H105:J108">ROUND(B105/1000,0)</f>
        <v>512300</v>
      </c>
      <c r="I105" s="305">
        <f t="shared" si="16"/>
        <v>137801</v>
      </c>
      <c r="J105" s="305">
        <f t="shared" si="16"/>
        <v>127110</v>
      </c>
      <c r="K105" s="306">
        <f t="shared" si="10"/>
        <v>0.2481163380831544</v>
      </c>
      <c r="L105" s="305">
        <f>J105-'[7]Februāris'!J104</f>
        <v>43806</v>
      </c>
    </row>
    <row r="106" spans="1:12" ht="12.75">
      <c r="A106" s="239" t="s">
        <v>383</v>
      </c>
      <c r="B106" s="158">
        <v>4231000</v>
      </c>
      <c r="C106" s="308">
        <f>162741+426941+417131</f>
        <v>1006813</v>
      </c>
      <c r="D106" s="158">
        <v>486144</v>
      </c>
      <c r="E106" s="304">
        <f t="shared" si="9"/>
        <v>0.11490049633656346</v>
      </c>
      <c r="F106" s="307">
        <f>D106-'[7]Februāris'!D105</f>
        <v>19943</v>
      </c>
      <c r="G106" s="239" t="s">
        <v>383</v>
      </c>
      <c r="H106" s="305">
        <f t="shared" si="16"/>
        <v>4231</v>
      </c>
      <c r="I106" s="305">
        <f t="shared" si="16"/>
        <v>1007</v>
      </c>
      <c r="J106" s="305">
        <f t="shared" si="16"/>
        <v>486</v>
      </c>
      <c r="K106" s="306">
        <f t="shared" si="10"/>
        <v>0.11486646182935477</v>
      </c>
      <c r="L106" s="305">
        <f>J106-'[7]Februāris'!J105</f>
        <v>20</v>
      </c>
    </row>
    <row r="107" spans="1:12" ht="12.75">
      <c r="A107" s="239" t="s">
        <v>386</v>
      </c>
      <c r="B107" s="158">
        <f>SUM(B100-B104)</f>
        <v>-35468975</v>
      </c>
      <c r="C107" s="308">
        <f>SUM(C100-C104)</f>
        <v>-27683308</v>
      </c>
      <c r="D107" s="158">
        <f>SUM(D100-D104)</f>
        <v>-15674934</v>
      </c>
      <c r="E107" s="304">
        <f t="shared" si="9"/>
        <v>0.4419336617424101</v>
      </c>
      <c r="F107" s="307">
        <f>D107-'[7]Februāris'!D106</f>
        <v>-4350444</v>
      </c>
      <c r="G107" s="239" t="s">
        <v>386</v>
      </c>
      <c r="H107" s="305">
        <f t="shared" si="16"/>
        <v>-35469</v>
      </c>
      <c r="I107" s="305">
        <f t="shared" si="16"/>
        <v>-27683</v>
      </c>
      <c r="J107" s="305">
        <f t="shared" si="16"/>
        <v>-15675</v>
      </c>
      <c r="K107" s="306">
        <f t="shared" si="10"/>
        <v>0.4419352110293496</v>
      </c>
      <c r="L107" s="305">
        <f>J107-'[7]Februāris'!J106</f>
        <v>-4351</v>
      </c>
    </row>
    <row r="108" spans="1:12" ht="12.75">
      <c r="A108" s="239" t="s">
        <v>387</v>
      </c>
      <c r="B108" s="158">
        <v>35815863</v>
      </c>
      <c r="C108" s="308">
        <f>8573735+9386208+9790039</f>
        <v>27749982</v>
      </c>
      <c r="D108" s="158">
        <f>17382012+445522</f>
        <v>17827534</v>
      </c>
      <c r="E108" s="304">
        <f t="shared" si="9"/>
        <v>0.4977552544245548</v>
      </c>
      <c r="F108" s="307">
        <f>D108-'[7]Februāris'!D107</f>
        <v>5062267</v>
      </c>
      <c r="G108" s="239" t="s">
        <v>387</v>
      </c>
      <c r="H108" s="305">
        <f t="shared" si="16"/>
        <v>35816</v>
      </c>
      <c r="I108" s="305">
        <f t="shared" si="16"/>
        <v>27750</v>
      </c>
      <c r="J108" s="305">
        <f>ROUND(D108/1000,0)</f>
        <v>17828</v>
      </c>
      <c r="K108" s="306">
        <f t="shared" si="10"/>
        <v>0.49776636140272507</v>
      </c>
      <c r="L108" s="305">
        <f>J108-'[7]Februāris'!J107</f>
        <v>5063</v>
      </c>
    </row>
    <row r="109" spans="1:12" ht="12.75">
      <c r="A109" s="201" t="s">
        <v>429</v>
      </c>
      <c r="B109" s="158"/>
      <c r="C109" s="308"/>
      <c r="D109" s="158"/>
      <c r="E109" s="304" t="str">
        <f t="shared" si="9"/>
        <v> </v>
      </c>
      <c r="F109" s="307"/>
      <c r="G109" s="201" t="s">
        <v>429</v>
      </c>
      <c r="H109" s="240"/>
      <c r="I109" s="240"/>
      <c r="J109" s="240"/>
      <c r="K109" s="306"/>
      <c r="L109" s="240"/>
    </row>
    <row r="110" spans="1:12" ht="12.75">
      <c r="A110" s="239" t="s">
        <v>389</v>
      </c>
      <c r="B110" s="158">
        <f>SUM(B111:B113)</f>
        <v>377995087</v>
      </c>
      <c r="C110" s="308">
        <f>28871828+28551320+30556301</f>
        <v>87979449</v>
      </c>
      <c r="D110" s="158">
        <f>SUM(D111:D113)</f>
        <v>87622126</v>
      </c>
      <c r="E110" s="304">
        <f t="shared" si="9"/>
        <v>0.23180757902284588</v>
      </c>
      <c r="F110" s="307">
        <f>SUM(F111:F113)</f>
        <v>30816887</v>
      </c>
      <c r="G110" s="239" t="s">
        <v>389</v>
      </c>
      <c r="H110" s="240">
        <f>SUM(H111:H113)</f>
        <v>377996</v>
      </c>
      <c r="I110" s="317">
        <f aca="true" t="shared" si="17" ref="H110:J115">ROUND(C110/1000,0)</f>
        <v>87979</v>
      </c>
      <c r="J110" s="240">
        <f>SUM(J111:J113)</f>
        <v>87622</v>
      </c>
      <c r="K110" s="306">
        <f t="shared" si="10"/>
        <v>0.23180668578503477</v>
      </c>
      <c r="L110" s="305">
        <f>SUM(L111:L113)</f>
        <v>30817</v>
      </c>
    </row>
    <row r="111" spans="1:12" ht="12.75">
      <c r="A111" s="315" t="s">
        <v>424</v>
      </c>
      <c r="B111" s="172">
        <v>355768535</v>
      </c>
      <c r="C111" s="316"/>
      <c r="D111" s="317">
        <v>82670242</v>
      </c>
      <c r="E111" s="304" t="str">
        <f>IF(ISERROR(#REF!/B111)," ",(#REF!/B111))</f>
        <v> </v>
      </c>
      <c r="F111" s="307">
        <f>D111-'[7]Februāris'!D110</f>
        <v>29233847</v>
      </c>
      <c r="G111" s="315" t="s">
        <v>424</v>
      </c>
      <c r="H111" s="317">
        <f t="shared" si="17"/>
        <v>355769</v>
      </c>
      <c r="I111" s="317">
        <f t="shared" si="17"/>
        <v>0</v>
      </c>
      <c r="J111" s="317">
        <f>ROUND(D111/1000,0)</f>
        <v>82670</v>
      </c>
      <c r="K111" s="318">
        <f t="shared" si="10"/>
        <v>0.23236988045613868</v>
      </c>
      <c r="L111" s="305">
        <f>J111-'[7]Februāris'!J110</f>
        <v>29234</v>
      </c>
    </row>
    <row r="112" spans="1:12" ht="12.75">
      <c r="A112" s="315" t="s">
        <v>425</v>
      </c>
      <c r="B112" s="172">
        <v>3397829</v>
      </c>
      <c r="C112" s="316"/>
      <c r="D112" s="317">
        <v>769150</v>
      </c>
      <c r="E112" s="304" t="str">
        <f>IF(ISERROR(#REF!/B112)," ",(#REF!/B112))</f>
        <v> </v>
      </c>
      <c r="F112" s="307">
        <f>D112-'[7]Februāris'!D111</f>
        <v>291466</v>
      </c>
      <c r="G112" s="315" t="s">
        <v>425</v>
      </c>
      <c r="H112" s="317">
        <f t="shared" si="17"/>
        <v>3398</v>
      </c>
      <c r="I112" s="317">
        <f t="shared" si="17"/>
        <v>0</v>
      </c>
      <c r="J112" s="317">
        <f t="shared" si="17"/>
        <v>769</v>
      </c>
      <c r="K112" s="318">
        <f t="shared" si="10"/>
        <v>0.2263095938787522</v>
      </c>
      <c r="L112" s="305">
        <f>J112-'[7]Februāris'!J111</f>
        <v>291</v>
      </c>
    </row>
    <row r="113" spans="1:12" ht="12.75">
      <c r="A113" s="315" t="s">
        <v>426</v>
      </c>
      <c r="B113" s="172">
        <f>377995087-355768535-3397829</f>
        <v>18828723</v>
      </c>
      <c r="C113" s="316"/>
      <c r="D113" s="317">
        <f>4951884-769150</f>
        <v>4182734</v>
      </c>
      <c r="E113" s="304" t="str">
        <f>IF(ISERROR(#REF!/B113)," ",(#REF!/B113))</f>
        <v> </v>
      </c>
      <c r="F113" s="307">
        <f>D113-'[7]Februāris'!D112</f>
        <v>1291574</v>
      </c>
      <c r="G113" s="315" t="s">
        <v>426</v>
      </c>
      <c r="H113" s="317">
        <f t="shared" si="17"/>
        <v>18829</v>
      </c>
      <c r="I113" s="317">
        <f t="shared" si="17"/>
        <v>0</v>
      </c>
      <c r="J113" s="317">
        <f t="shared" si="17"/>
        <v>4183</v>
      </c>
      <c r="K113" s="318">
        <f t="shared" si="10"/>
        <v>0.22215731053162674</v>
      </c>
      <c r="L113" s="305">
        <f>J113-'[7]Februāris'!J112</f>
        <v>1292</v>
      </c>
    </row>
    <row r="114" spans="1:12" ht="12.75">
      <c r="A114" s="239" t="s">
        <v>391</v>
      </c>
      <c r="B114" s="172">
        <f>SUM(B115)</f>
        <v>399579811</v>
      </c>
      <c r="C114" s="316">
        <f>SUM(C115)</f>
        <v>106974241</v>
      </c>
      <c r="D114" s="172">
        <f>SUM(D115)</f>
        <v>100880395</v>
      </c>
      <c r="E114" s="304">
        <f t="shared" si="9"/>
        <v>0.25246619629638894</v>
      </c>
      <c r="F114" s="319">
        <f>SUM(F115)</f>
        <v>35118920</v>
      </c>
      <c r="G114" s="239" t="s">
        <v>391</v>
      </c>
      <c r="H114" s="240">
        <f>SUM(H115)</f>
        <v>399580</v>
      </c>
      <c r="I114" s="240">
        <f>SUM(I115)</f>
        <v>106974</v>
      </c>
      <c r="J114" s="240">
        <f>SUM(J115)</f>
        <v>100880</v>
      </c>
      <c r="K114" s="306">
        <f t="shared" si="10"/>
        <v>0.2524650883427599</v>
      </c>
      <c r="L114" s="240">
        <f>SUM(L115)</f>
        <v>35119</v>
      </c>
    </row>
    <row r="115" spans="1:12" ht="12.75">
      <c r="A115" s="239" t="s">
        <v>430</v>
      </c>
      <c r="B115" s="158">
        <v>399579811</v>
      </c>
      <c r="C115" s="308">
        <f>34613638+34774223+37586380</f>
        <v>106974241</v>
      </c>
      <c r="D115" s="317">
        <v>100880395</v>
      </c>
      <c r="E115" s="304" t="str">
        <f>IF(ISERROR(#REF!/B115)," ",(#REF!/B115))</f>
        <v> </v>
      </c>
      <c r="F115" s="307">
        <f>D115-'[7]Februāris'!D114</f>
        <v>35118920</v>
      </c>
      <c r="G115" s="315" t="s">
        <v>430</v>
      </c>
      <c r="H115" s="317">
        <f>ROUND(B115/1000,0)</f>
        <v>399580</v>
      </c>
      <c r="I115" s="317">
        <f>ROUND(C115/1000,0)</f>
        <v>106974</v>
      </c>
      <c r="J115" s="317">
        <f t="shared" si="17"/>
        <v>100880</v>
      </c>
      <c r="K115" s="318">
        <f t="shared" si="10"/>
        <v>0.2524650883427599</v>
      </c>
      <c r="L115" s="305">
        <f>J115-'[7]Februāris'!J114</f>
        <v>35119</v>
      </c>
    </row>
    <row r="116" spans="1:12" ht="12.75">
      <c r="A116" s="239" t="s">
        <v>386</v>
      </c>
      <c r="B116" s="158">
        <f>SUM(B110-B114)</f>
        <v>-21584724</v>
      </c>
      <c r="C116" s="308">
        <f>SUM(C110-C114)</f>
        <v>-18994792</v>
      </c>
      <c r="D116" s="158">
        <f>SUM(D110-D114)</f>
        <v>-13258269</v>
      </c>
      <c r="E116" s="304">
        <f t="shared" si="9"/>
        <v>0.6142431564100611</v>
      </c>
      <c r="F116" s="307">
        <f>D116-'[7]Februāris'!D115</f>
        <v>-4302033</v>
      </c>
      <c r="G116" s="239" t="s">
        <v>386</v>
      </c>
      <c r="H116" s="240">
        <f>SUM(H110-H114)</f>
        <v>-21584</v>
      </c>
      <c r="I116" s="240">
        <f>SUM(I110-I114)</f>
        <v>-18995</v>
      </c>
      <c r="J116" s="240">
        <f>SUM(J110-J114)</f>
        <v>-13258</v>
      </c>
      <c r="K116" s="306">
        <f t="shared" si="10"/>
        <v>0.6142512972572276</v>
      </c>
      <c r="L116" s="305">
        <f>J116-'[7]Februāris'!J115</f>
        <v>-4302</v>
      </c>
    </row>
    <row r="117" spans="1:12" ht="12.75">
      <c r="A117" s="239" t="s">
        <v>387</v>
      </c>
      <c r="B117" s="158">
        <v>21584724</v>
      </c>
      <c r="C117" s="308">
        <f>5741810+6222903+7030079</f>
        <v>18994792</v>
      </c>
      <c r="D117" s="158">
        <v>13284137</v>
      </c>
      <c r="E117" s="304">
        <f t="shared" si="9"/>
        <v>0.6154415965661642</v>
      </c>
      <c r="F117" s="307">
        <f>D117-'[7]Februāris'!D116</f>
        <v>4327901</v>
      </c>
      <c r="G117" s="239" t="s">
        <v>387</v>
      </c>
      <c r="H117" s="305">
        <f>ROUND(B117/1000,0)</f>
        <v>21585</v>
      </c>
      <c r="I117" s="305">
        <f>ROUND(C117/1000,0)</f>
        <v>18995</v>
      </c>
      <c r="J117" s="305">
        <f>ROUND(D117/1000,0)</f>
        <v>13284</v>
      </c>
      <c r="K117" s="306">
        <f t="shared" si="10"/>
        <v>0.6154273801250869</v>
      </c>
      <c r="L117" s="305">
        <f>J117-'[7]Februāris'!J116</f>
        <v>4328</v>
      </c>
    </row>
    <row r="118" spans="1:12" ht="12.75">
      <c r="A118" s="201" t="s">
        <v>431</v>
      </c>
      <c r="B118" s="158"/>
      <c r="C118" s="308"/>
      <c r="D118" s="158"/>
      <c r="E118" s="304" t="str">
        <f t="shared" si="9"/>
        <v> </v>
      </c>
      <c r="F118" s="307"/>
      <c r="G118" s="201" t="s">
        <v>431</v>
      </c>
      <c r="H118" s="240"/>
      <c r="I118" s="240"/>
      <c r="J118" s="240"/>
      <c r="K118" s="306"/>
      <c r="L118" s="240"/>
    </row>
    <row r="119" spans="1:12" ht="12.75">
      <c r="A119" s="239" t="s">
        <v>389</v>
      </c>
      <c r="B119" s="158">
        <f>SUM(B120:B122)</f>
        <v>36515639</v>
      </c>
      <c r="C119" s="308">
        <f>3738719+3512825+3494337</f>
        <v>10745881</v>
      </c>
      <c r="D119" s="158">
        <f>SUM(D120:D122)</f>
        <v>10751259</v>
      </c>
      <c r="E119" s="304">
        <f t="shared" si="9"/>
        <v>0.29442888840039194</v>
      </c>
      <c r="F119" s="307">
        <f>SUM(F120:F122)</f>
        <v>3530764</v>
      </c>
      <c r="G119" s="239" t="s">
        <v>389</v>
      </c>
      <c r="H119" s="240">
        <f>SUM(H120:H122)</f>
        <v>36515</v>
      </c>
      <c r="I119" s="317">
        <f aca="true" t="shared" si="18" ref="H119:J122">ROUND(C119/1000,0)</f>
        <v>10746</v>
      </c>
      <c r="J119" s="240">
        <f>SUM(J120:J122)</f>
        <v>10752</v>
      </c>
      <c r="K119" s="306">
        <f t="shared" si="10"/>
        <v>0.2944543338354101</v>
      </c>
      <c r="L119" s="305">
        <f>SUM(L120:L122)</f>
        <v>3532</v>
      </c>
    </row>
    <row r="120" spans="1:12" ht="12.75">
      <c r="A120" s="315" t="s">
        <v>424</v>
      </c>
      <c r="B120" s="172">
        <v>32186474</v>
      </c>
      <c r="C120" s="316"/>
      <c r="D120" s="172">
        <v>7479593</v>
      </c>
      <c r="E120" s="304">
        <f t="shared" si="9"/>
        <v>0.23238311223528244</v>
      </c>
      <c r="F120" s="307">
        <f>D120-'[7]Februāris'!D119</f>
        <v>2645566</v>
      </c>
      <c r="G120" s="315" t="s">
        <v>424</v>
      </c>
      <c r="H120" s="317">
        <f t="shared" si="18"/>
        <v>32186</v>
      </c>
      <c r="I120" s="317">
        <f t="shared" si="18"/>
        <v>0</v>
      </c>
      <c r="J120" s="317">
        <f t="shared" si="18"/>
        <v>7480</v>
      </c>
      <c r="K120" s="318">
        <f t="shared" si="10"/>
        <v>0.23239917976760083</v>
      </c>
      <c r="L120" s="305">
        <f>J120-'[7]Februāris'!J119</f>
        <v>2646</v>
      </c>
    </row>
    <row r="121" spans="1:12" ht="12.75">
      <c r="A121" s="315" t="s">
        <v>425</v>
      </c>
      <c r="B121" s="172">
        <v>468801</v>
      </c>
      <c r="C121" s="316"/>
      <c r="D121" s="172">
        <v>103555</v>
      </c>
      <c r="E121" s="304">
        <f t="shared" si="9"/>
        <v>0.22089330014227784</v>
      </c>
      <c r="F121" s="307">
        <f>D121-'[7]Februāris'!D120</f>
        <v>41239</v>
      </c>
      <c r="G121" s="315" t="s">
        <v>425</v>
      </c>
      <c r="H121" s="317">
        <f>ROUND(B121/1000,0)</f>
        <v>469</v>
      </c>
      <c r="I121" s="317">
        <f t="shared" si="18"/>
        <v>0</v>
      </c>
      <c r="J121" s="317">
        <f>ROUND(D121/1000,0)</f>
        <v>104</v>
      </c>
      <c r="K121" s="318">
        <f t="shared" si="10"/>
        <v>0.22174840085287847</v>
      </c>
      <c r="L121" s="305">
        <f>J121-'[7]Februāris'!J120</f>
        <v>42</v>
      </c>
    </row>
    <row r="122" spans="1:12" ht="12.75">
      <c r="A122" s="315" t="s">
        <v>426</v>
      </c>
      <c r="B122" s="172">
        <f>36515639-32186474-468801</f>
        <v>3860364</v>
      </c>
      <c r="C122" s="316"/>
      <c r="D122" s="172">
        <f>3271666-103555</f>
        <v>3168111</v>
      </c>
      <c r="E122" s="304">
        <f t="shared" si="9"/>
        <v>0.8206767548345182</v>
      </c>
      <c r="F122" s="307">
        <f>D122-'[7]Februāris'!D121</f>
        <v>843959</v>
      </c>
      <c r="G122" s="315" t="s">
        <v>426</v>
      </c>
      <c r="H122" s="317">
        <f>ROUND(B122/1000,0)</f>
        <v>3860</v>
      </c>
      <c r="I122" s="317">
        <f t="shared" si="18"/>
        <v>0</v>
      </c>
      <c r="J122" s="317">
        <f t="shared" si="18"/>
        <v>3168</v>
      </c>
      <c r="K122" s="318">
        <f t="shared" si="10"/>
        <v>0.8207253886010363</v>
      </c>
      <c r="L122" s="305">
        <f>J122-'[7]Februāris'!J121</f>
        <v>844</v>
      </c>
    </row>
    <row r="123" spans="1:12" ht="12.75">
      <c r="A123" s="239" t="s">
        <v>391</v>
      </c>
      <c r="B123" s="172">
        <f>SUM(B124:B124)</f>
        <v>36168751</v>
      </c>
      <c r="C123" s="316">
        <f>SUM(C124)</f>
        <v>10679207</v>
      </c>
      <c r="D123" s="172">
        <f>SUM(D124:D124)</f>
        <v>9136516</v>
      </c>
      <c r="E123" s="304">
        <f t="shared" si="9"/>
        <v>0.25260800407511996</v>
      </c>
      <c r="F123" s="319">
        <f>SUM(F124:F124)</f>
        <v>3048427</v>
      </c>
      <c r="G123" s="239" t="s">
        <v>391</v>
      </c>
      <c r="H123" s="240">
        <f>SUM(H124:H124)</f>
        <v>36169</v>
      </c>
      <c r="I123" s="240">
        <f>SUM(I124:I124)</f>
        <v>10679</v>
      </c>
      <c r="J123" s="240">
        <f>SUM(J124:J124)</f>
        <v>9137</v>
      </c>
      <c r="K123" s="306">
        <f t="shared" si="10"/>
        <v>0.2526196466587409</v>
      </c>
      <c r="L123" s="240">
        <f>SUM(L124:L124)</f>
        <v>3049</v>
      </c>
    </row>
    <row r="124" spans="1:12" ht="12.75">
      <c r="A124" s="315" t="s">
        <v>430</v>
      </c>
      <c r="B124" s="172">
        <v>36168751</v>
      </c>
      <c r="C124" s="316">
        <f>3662852+3559932+3456423</f>
        <v>10679207</v>
      </c>
      <c r="D124" s="172">
        <v>9136516</v>
      </c>
      <c r="E124" s="320">
        <f t="shared" si="9"/>
        <v>0.25260800407511996</v>
      </c>
      <c r="F124" s="307">
        <f>D124-'[7]Februāris'!D123</f>
        <v>3048427</v>
      </c>
      <c r="G124" s="315" t="s">
        <v>430</v>
      </c>
      <c r="H124" s="317">
        <f>ROUND(B124/1000,0)</f>
        <v>36169</v>
      </c>
      <c r="I124" s="317">
        <f>ROUND(C124/1000,0)</f>
        <v>10679</v>
      </c>
      <c r="J124" s="317">
        <f>ROUND(D124/1000,0)</f>
        <v>9137</v>
      </c>
      <c r="K124" s="318">
        <f t="shared" si="10"/>
        <v>0.2526196466587409</v>
      </c>
      <c r="L124" s="305">
        <f>J124-'[7]Februāris'!J123</f>
        <v>3049</v>
      </c>
    </row>
    <row r="125" spans="1:12" ht="12.75">
      <c r="A125" s="239" t="s">
        <v>386</v>
      </c>
      <c r="B125" s="158">
        <f>SUM(B119-B123)</f>
        <v>346888</v>
      </c>
      <c r="C125" s="308">
        <f>SUM(C119-C123)</f>
        <v>66674</v>
      </c>
      <c r="D125" s="158">
        <f>SUM(D119-D123)</f>
        <v>1614743</v>
      </c>
      <c r="E125" s="304">
        <f t="shared" si="9"/>
        <v>4.654940499527225</v>
      </c>
      <c r="F125" s="307">
        <f>D125-'[7]Februāris'!D124</f>
        <v>482337</v>
      </c>
      <c r="G125" s="239" t="s">
        <v>386</v>
      </c>
      <c r="H125" s="240">
        <f>SUM(H119-H123)</f>
        <v>346</v>
      </c>
      <c r="I125" s="240">
        <f>SUM(I119-I123)</f>
        <v>67</v>
      </c>
      <c r="J125" s="240">
        <f>SUM(J119-J123)</f>
        <v>1615</v>
      </c>
      <c r="K125" s="306">
        <f t="shared" si="10"/>
        <v>4.667630057803469</v>
      </c>
      <c r="L125" s="305">
        <f>J125-'[7]Februāris'!J124</f>
        <v>483</v>
      </c>
    </row>
    <row r="126" spans="1:12" ht="12.75">
      <c r="A126" s="201" t="s">
        <v>432</v>
      </c>
      <c r="B126" s="158"/>
      <c r="C126" s="308"/>
      <c r="D126" s="158"/>
      <c r="E126" s="304" t="str">
        <f t="shared" si="9"/>
        <v> </v>
      </c>
      <c r="F126" s="307"/>
      <c r="G126" s="201" t="s">
        <v>432</v>
      </c>
      <c r="H126" s="240"/>
      <c r="I126" s="240"/>
      <c r="J126" s="240"/>
      <c r="K126" s="306" t="str">
        <f t="shared" si="10"/>
        <v> </v>
      </c>
      <c r="L126" s="240"/>
    </row>
    <row r="127" spans="1:12" ht="12.75">
      <c r="A127" s="239" t="s">
        <v>389</v>
      </c>
      <c r="B127" s="158">
        <f>SUM(B128:B130)</f>
        <v>1057977</v>
      </c>
      <c r="C127" s="308">
        <f>80213+79269+85249</f>
        <v>244731</v>
      </c>
      <c r="D127" s="158">
        <f>SUM(D128:D130)</f>
        <v>250854</v>
      </c>
      <c r="E127" s="304">
        <f t="shared" si="9"/>
        <v>0.23710723390016986</v>
      </c>
      <c r="F127" s="307">
        <f>SUM(F128:F130)</f>
        <v>85961</v>
      </c>
      <c r="G127" s="239" t="s">
        <v>389</v>
      </c>
      <c r="H127" s="240">
        <f>SUM(H128:H130)</f>
        <v>1058</v>
      </c>
      <c r="I127" s="317">
        <f>ROUND(C127/1000,0)</f>
        <v>245</v>
      </c>
      <c r="J127" s="240">
        <f>SUM(J128:J130)</f>
        <v>251</v>
      </c>
      <c r="K127" s="306">
        <f t="shared" si="10"/>
        <v>0.23724007561436672</v>
      </c>
      <c r="L127" s="240">
        <f>SUM(L128:L130)</f>
        <v>87</v>
      </c>
    </row>
    <row r="128" spans="1:12" ht="12.75">
      <c r="A128" s="315" t="s">
        <v>424</v>
      </c>
      <c r="B128" s="172">
        <v>1041327</v>
      </c>
      <c r="C128" s="316"/>
      <c r="D128" s="172">
        <v>241987</v>
      </c>
      <c r="E128" s="304">
        <f t="shared" si="9"/>
        <v>0.2323832955450113</v>
      </c>
      <c r="F128" s="307">
        <f>D128-'[7]Februāris'!D127</f>
        <v>85592</v>
      </c>
      <c r="G128" s="315" t="s">
        <v>424</v>
      </c>
      <c r="H128" s="317">
        <f>ROUND(B128/1000,0)</f>
        <v>1041</v>
      </c>
      <c r="I128" s="317">
        <f>ROUND(C128/1000,0)</f>
        <v>0</v>
      </c>
      <c r="J128" s="317">
        <f>ROUND(D128/1000,0)</f>
        <v>242</v>
      </c>
      <c r="K128" s="318">
        <f t="shared" si="10"/>
        <v>0.23246878001921228</v>
      </c>
      <c r="L128" s="305">
        <f>J128-'[7]Februāris'!J127</f>
        <v>86</v>
      </c>
    </row>
    <row r="129" spans="1:12" ht="12.75">
      <c r="A129" s="315"/>
      <c r="B129" s="172"/>
      <c r="C129" s="316"/>
      <c r="D129" s="172"/>
      <c r="E129" s="304" t="str">
        <f t="shared" si="9"/>
        <v> </v>
      </c>
      <c r="F129" s="319"/>
      <c r="G129" s="315"/>
      <c r="H129" s="321"/>
      <c r="I129" s="321"/>
      <c r="J129" s="321"/>
      <c r="K129" s="318" t="str">
        <f t="shared" si="10"/>
        <v> </v>
      </c>
      <c r="L129" s="321"/>
    </row>
    <row r="130" spans="1:12" ht="12.75">
      <c r="A130" s="315" t="s">
        <v>426</v>
      </c>
      <c r="B130" s="172">
        <v>16650</v>
      </c>
      <c r="C130" s="316"/>
      <c r="D130" s="172">
        <v>8867</v>
      </c>
      <c r="E130" s="304">
        <f t="shared" si="9"/>
        <v>0.5325525525525525</v>
      </c>
      <c r="F130" s="307">
        <f>D130-'[7]Februāris'!D129</f>
        <v>369</v>
      </c>
      <c r="G130" s="315" t="s">
        <v>426</v>
      </c>
      <c r="H130" s="317">
        <f>ROUND(B130/1000,0)</f>
        <v>17</v>
      </c>
      <c r="I130" s="317">
        <f>ROUND(C130/1000,0)</f>
        <v>0</v>
      </c>
      <c r="J130" s="317">
        <f>ROUND(D130/1000,0)</f>
        <v>9</v>
      </c>
      <c r="K130" s="318">
        <f t="shared" si="10"/>
        <v>0.5294117647058824</v>
      </c>
      <c r="L130" s="305">
        <f>J130-'[7]Februāris'!J129</f>
        <v>1</v>
      </c>
    </row>
    <row r="131" spans="1:12" ht="12.75">
      <c r="A131" s="239" t="s">
        <v>391</v>
      </c>
      <c r="B131" s="172">
        <f>SUM(B132:B133)</f>
        <v>1192801</v>
      </c>
      <c r="C131" s="308">
        <f>SUM(C132)</f>
        <v>197943</v>
      </c>
      <c r="D131" s="172">
        <f>SUM(D132:D133)</f>
        <v>188100</v>
      </c>
      <c r="E131" s="304">
        <f t="shared" si="9"/>
        <v>0.15769604485576388</v>
      </c>
      <c r="F131" s="319">
        <f>SUM(F132:F133)</f>
        <v>63110</v>
      </c>
      <c r="G131" s="239" t="s">
        <v>391</v>
      </c>
      <c r="H131" s="240">
        <f>SUM(H132:H133)</f>
        <v>1193</v>
      </c>
      <c r="I131" s="240">
        <f>SUM(I132:I133)</f>
        <v>198</v>
      </c>
      <c r="J131" s="240">
        <f>SUM(J132:J133)</f>
        <v>188</v>
      </c>
      <c r="K131" s="306">
        <f t="shared" si="10"/>
        <v>0.15758591785414922</v>
      </c>
      <c r="L131" s="240">
        <f>SUM(L132:L133)</f>
        <v>63</v>
      </c>
    </row>
    <row r="132" spans="1:12" ht="12" customHeight="1">
      <c r="A132" s="239" t="s">
        <v>430</v>
      </c>
      <c r="B132" s="158">
        <v>1192801</v>
      </c>
      <c r="C132" s="308">
        <f>61941+67993+68009</f>
        <v>197943</v>
      </c>
      <c r="D132" s="158">
        <v>188100</v>
      </c>
      <c r="E132" s="304">
        <f t="shared" si="9"/>
        <v>0.15769604485576388</v>
      </c>
      <c r="F132" s="307">
        <f>D132-'[7]Februāris'!D131</f>
        <v>63110</v>
      </c>
      <c r="G132" s="315" t="s">
        <v>430</v>
      </c>
      <c r="H132" s="317">
        <f>ROUND(B132/1000,0)</f>
        <v>1193</v>
      </c>
      <c r="I132" s="317">
        <f>ROUND(C132/1000,0)</f>
        <v>198</v>
      </c>
      <c r="J132" s="317">
        <f>ROUND(D132/1000,0)</f>
        <v>188</v>
      </c>
      <c r="K132" s="318">
        <f t="shared" si="10"/>
        <v>0.15758591785414922</v>
      </c>
      <c r="L132" s="305">
        <f>J132-'[7]Februāris'!J131</f>
        <v>63</v>
      </c>
    </row>
    <row r="133" spans="1:12" ht="12.75" hidden="1">
      <c r="A133" s="239"/>
      <c r="B133" s="158"/>
      <c r="C133" s="308"/>
      <c r="D133" s="158"/>
      <c r="E133" s="304" t="str">
        <f t="shared" si="9"/>
        <v> </v>
      </c>
      <c r="F133" s="307"/>
      <c r="G133" s="239"/>
      <c r="H133" s="240"/>
      <c r="I133" s="240"/>
      <c r="J133" s="240"/>
      <c r="K133" s="306" t="str">
        <f t="shared" si="10"/>
        <v> </v>
      </c>
      <c r="L133" s="240"/>
    </row>
    <row r="134" spans="1:12" ht="12.75">
      <c r="A134" s="239" t="s">
        <v>386</v>
      </c>
      <c r="B134" s="158">
        <f>SUM(B127-B131)</f>
        <v>-134824</v>
      </c>
      <c r="C134" s="308">
        <f>SUM(C127-C131)</f>
        <v>46788</v>
      </c>
      <c r="D134" s="158">
        <f>SUM(D127-D131)</f>
        <v>62754</v>
      </c>
      <c r="E134" s="304">
        <f t="shared" si="9"/>
        <v>-0.4654512549694416</v>
      </c>
      <c r="F134" s="307">
        <f>D134-'[7]Februāris'!D133</f>
        <v>22851</v>
      </c>
      <c r="G134" s="239" t="s">
        <v>386</v>
      </c>
      <c r="H134" s="240">
        <f>SUM(H127-H131)</f>
        <v>-135</v>
      </c>
      <c r="I134" s="240">
        <f>SUM(I127-I131)</f>
        <v>47</v>
      </c>
      <c r="J134" s="240">
        <f>SUM(J127-J131)</f>
        <v>63</v>
      </c>
      <c r="K134" s="306">
        <f t="shared" si="10"/>
        <v>-0.4666666666666667</v>
      </c>
      <c r="L134" s="305">
        <f>J134-'[7]Februāris'!J133</f>
        <v>24</v>
      </c>
    </row>
    <row r="135" spans="1:12" ht="12.75">
      <c r="A135" s="239" t="s">
        <v>387</v>
      </c>
      <c r="B135" s="158">
        <v>134824</v>
      </c>
      <c r="C135" s="308">
        <f>-(18272+11276+17240)</f>
        <v>-46788</v>
      </c>
      <c r="D135" s="158"/>
      <c r="E135" s="304">
        <f t="shared" si="9"/>
        <v>0</v>
      </c>
      <c r="F135" s="307">
        <f>D135-'[7]Februāris'!D134</f>
        <v>0</v>
      </c>
      <c r="G135" s="239" t="s">
        <v>387</v>
      </c>
      <c r="H135" s="305">
        <f>ROUND(B135/1000,0)</f>
        <v>135</v>
      </c>
      <c r="I135" s="305">
        <f>ROUND(C135/1000,0)</f>
        <v>-47</v>
      </c>
      <c r="J135" s="305">
        <f>ROUND(D135/1000,0)</f>
        <v>0</v>
      </c>
      <c r="K135" s="306">
        <f t="shared" si="10"/>
        <v>0</v>
      </c>
      <c r="L135" s="305">
        <f>J135-'[7]Februāris'!J134</f>
        <v>0</v>
      </c>
    </row>
    <row r="136" spans="1:12" ht="25.5">
      <c r="A136" s="146" t="s">
        <v>433</v>
      </c>
      <c r="B136" s="158"/>
      <c r="C136" s="308"/>
      <c r="D136" s="158"/>
      <c r="E136" s="304" t="str">
        <f t="shared" si="9"/>
        <v> </v>
      </c>
      <c r="F136" s="307"/>
      <c r="G136" s="146" t="s">
        <v>433</v>
      </c>
      <c r="H136" s="240"/>
      <c r="I136" s="240"/>
      <c r="J136" s="240"/>
      <c r="K136" s="306"/>
      <c r="L136" s="240"/>
    </row>
    <row r="137" spans="1:12" ht="12.75">
      <c r="A137" s="239" t="s">
        <v>389</v>
      </c>
      <c r="B137" s="158">
        <f>SUM(B138:B140)</f>
        <v>84878185</v>
      </c>
      <c r="C137" s="308">
        <f>6427352+6350601+6836308</f>
        <v>19614261</v>
      </c>
      <c r="D137" s="158">
        <f>SUM(D138:D140)</f>
        <v>19791621</v>
      </c>
      <c r="E137" s="304">
        <f t="shared" si="9"/>
        <v>0.23317676974360374</v>
      </c>
      <c r="F137" s="307">
        <f>SUM(F138:F140)</f>
        <v>6973502</v>
      </c>
      <c r="G137" s="239" t="s">
        <v>389</v>
      </c>
      <c r="H137" s="240">
        <f>SUM(H138:H140)</f>
        <v>84878</v>
      </c>
      <c r="I137" s="305">
        <f>ROUND(C137/1000,0)</f>
        <v>19614</v>
      </c>
      <c r="J137" s="240">
        <f>SUM(J138:J140)</f>
        <v>19792</v>
      </c>
      <c r="K137" s="306">
        <f t="shared" si="10"/>
        <v>0.2331817432078984</v>
      </c>
      <c r="L137" s="240">
        <f>SUM(L138:L140)</f>
        <v>6973</v>
      </c>
    </row>
    <row r="138" spans="1:12" ht="12.75">
      <c r="A138" s="315" t="s">
        <v>424</v>
      </c>
      <c r="B138" s="172">
        <v>84584160</v>
      </c>
      <c r="C138" s="316"/>
      <c r="D138" s="172">
        <v>19655930</v>
      </c>
      <c r="E138" s="304">
        <f t="shared" si="9"/>
        <v>0.2323831081375047</v>
      </c>
      <c r="F138" s="307">
        <f>D138-'[7]Februāris'!D137</f>
        <v>6952389</v>
      </c>
      <c r="G138" s="315" t="s">
        <v>424</v>
      </c>
      <c r="H138" s="317">
        <f>ROUND(B138/1000,0)</f>
        <v>84584</v>
      </c>
      <c r="I138" s="317">
        <f>ROUND(C138/1000,0)</f>
        <v>0</v>
      </c>
      <c r="J138" s="317">
        <f>ROUND(D138/1000,0)</f>
        <v>19656</v>
      </c>
      <c r="K138" s="318">
        <f t="shared" si="10"/>
        <v>0.23238437529556416</v>
      </c>
      <c r="L138" s="305">
        <f>J138-'[7]Februāris'!J137</f>
        <v>6952</v>
      </c>
    </row>
    <row r="139" spans="1:12" ht="12.75">
      <c r="A139" s="315"/>
      <c r="B139" s="172"/>
      <c r="C139" s="316"/>
      <c r="D139" s="172"/>
      <c r="E139" s="304" t="str">
        <f t="shared" si="9"/>
        <v> </v>
      </c>
      <c r="F139" s="319"/>
      <c r="G139" s="315"/>
      <c r="H139" s="321"/>
      <c r="I139" s="321"/>
      <c r="J139" s="321"/>
      <c r="K139" s="318" t="str">
        <f t="shared" si="10"/>
        <v> </v>
      </c>
      <c r="L139" s="321"/>
    </row>
    <row r="140" spans="1:12" ht="12.75">
      <c r="A140" s="315" t="s">
        <v>426</v>
      </c>
      <c r="B140" s="172">
        <v>294025</v>
      </c>
      <c r="C140" s="316"/>
      <c r="D140" s="172">
        <v>135691</v>
      </c>
      <c r="E140" s="304">
        <f aca="true" t="shared" si="19" ref="E140:E183">IF(ISERROR(D140/B140)," ",(D140/B140))</f>
        <v>0.46149477085281865</v>
      </c>
      <c r="F140" s="307">
        <f>D140-'[7]Februāris'!D139</f>
        <v>21113</v>
      </c>
      <c r="G140" s="315" t="s">
        <v>426</v>
      </c>
      <c r="H140" s="317">
        <f>ROUND(B140/1000,0)</f>
        <v>294</v>
      </c>
      <c r="I140" s="317">
        <f>ROUND(C140/1000,0)</f>
        <v>0</v>
      </c>
      <c r="J140" s="317">
        <f>ROUND(D140/1000,0)</f>
        <v>136</v>
      </c>
      <c r="K140" s="318">
        <f t="shared" si="10"/>
        <v>0.46258503401360546</v>
      </c>
      <c r="L140" s="305">
        <f>J140-'[7]Februāris'!J139</f>
        <v>21</v>
      </c>
    </row>
    <row r="141" spans="1:12" ht="12.75">
      <c r="A141" s="239" t="s">
        <v>391</v>
      </c>
      <c r="B141" s="172">
        <f>B142</f>
        <v>95023500</v>
      </c>
      <c r="C141" s="316">
        <f>SUM(C142)</f>
        <v>27496926</v>
      </c>
      <c r="D141" s="172">
        <f>D142</f>
        <v>23889048</v>
      </c>
      <c r="E141" s="304">
        <f t="shared" si="19"/>
        <v>0.251401474372129</v>
      </c>
      <c r="F141" s="319">
        <f>F142</f>
        <v>7692474</v>
      </c>
      <c r="G141" s="239" t="s">
        <v>391</v>
      </c>
      <c r="H141" s="240">
        <f>H142</f>
        <v>95024</v>
      </c>
      <c r="I141" s="240">
        <f>I142</f>
        <v>27497</v>
      </c>
      <c r="J141" s="240">
        <f>J142</f>
        <v>23889</v>
      </c>
      <c r="K141" s="306">
        <f aca="true" t="shared" si="20" ref="K141:K183">IF(ISERROR(ROUND(J141,0)/ROUND(H141,0))," ",(ROUND(J141,)/ROUND(H141,)))</f>
        <v>0.2513996464051187</v>
      </c>
      <c r="L141" s="240">
        <f>L142</f>
        <v>7692</v>
      </c>
    </row>
    <row r="142" spans="1:12" ht="12.75">
      <c r="A142" s="239" t="s">
        <v>430</v>
      </c>
      <c r="B142" s="158">
        <v>95023500</v>
      </c>
      <c r="C142" s="308">
        <f>9147308+9128241+9221377</f>
        <v>27496926</v>
      </c>
      <c r="D142" s="158">
        <v>23889048</v>
      </c>
      <c r="E142" s="304">
        <f t="shared" si="19"/>
        <v>0.251401474372129</v>
      </c>
      <c r="F142" s="307">
        <f>D142-'[7]Februāris'!D141</f>
        <v>7692474</v>
      </c>
      <c r="G142" s="315" t="s">
        <v>430</v>
      </c>
      <c r="H142" s="317">
        <f>ROUND(B142/1000,0)</f>
        <v>95024</v>
      </c>
      <c r="I142" s="317">
        <f>ROUND(C142/1000,0)</f>
        <v>27497</v>
      </c>
      <c r="J142" s="317">
        <f>ROUND(D142/1000,0)</f>
        <v>23889</v>
      </c>
      <c r="K142" s="318">
        <f t="shared" si="20"/>
        <v>0.2513996464051187</v>
      </c>
      <c r="L142" s="305">
        <f>J142-'[7]Februāris'!J141</f>
        <v>7692</v>
      </c>
    </row>
    <row r="143" spans="1:12" ht="12.75">
      <c r="A143" s="239" t="s">
        <v>386</v>
      </c>
      <c r="B143" s="158">
        <f>SUM(B137-B141)</f>
        <v>-10145315</v>
      </c>
      <c r="C143" s="308">
        <f>SUM(C137-C141)</f>
        <v>-7882665</v>
      </c>
      <c r="D143" s="158">
        <f>SUM(D137-D141)</f>
        <v>-4097427</v>
      </c>
      <c r="E143" s="304">
        <f t="shared" si="19"/>
        <v>0.40387380776249926</v>
      </c>
      <c r="F143" s="307">
        <f>D143-'[7]Februāris'!D142</f>
        <v>-718972</v>
      </c>
      <c r="G143" s="239" t="s">
        <v>386</v>
      </c>
      <c r="H143" s="240">
        <f>SUM(H137-H141)</f>
        <v>-10146</v>
      </c>
      <c r="I143" s="240">
        <f>SUM(I137-I141)</f>
        <v>-7883</v>
      </c>
      <c r="J143" s="240">
        <f>SUM(J137-J141)</f>
        <v>-4097</v>
      </c>
      <c r="K143" s="306">
        <f t="shared" si="20"/>
        <v>0.40380445495761874</v>
      </c>
      <c r="L143" s="305">
        <f>J143-'[7]Februāris'!J142</f>
        <v>-719</v>
      </c>
    </row>
    <row r="144" spans="1:12" ht="12.75">
      <c r="A144" s="239" t="s">
        <v>387</v>
      </c>
      <c r="B144" s="158">
        <v>10145315</v>
      </c>
      <c r="C144" s="308">
        <f>2719956+2777640+2385069</f>
        <v>7882665</v>
      </c>
      <c r="D144" s="158">
        <v>4097875</v>
      </c>
      <c r="E144" s="304">
        <f t="shared" si="19"/>
        <v>0.4039179660759671</v>
      </c>
      <c r="F144" s="307">
        <f>D144-'[7]Februāris'!D143</f>
        <v>719421</v>
      </c>
      <c r="G144" s="239" t="s">
        <v>387</v>
      </c>
      <c r="H144" s="305">
        <f>ROUND(B144/1000,0)</f>
        <v>10145</v>
      </c>
      <c r="I144" s="305">
        <f>ROUND(C144/1000,0)</f>
        <v>7883</v>
      </c>
      <c r="J144" s="305">
        <f>ROUND(D144/1000,0)</f>
        <v>4098</v>
      </c>
      <c r="K144" s="306">
        <f t="shared" si="20"/>
        <v>0.403942828979793</v>
      </c>
      <c r="L144" s="305">
        <f>J144-'[7]Februāris'!J143</f>
        <v>720</v>
      </c>
    </row>
    <row r="145" spans="1:12" ht="12.75">
      <c r="A145" s="201" t="s">
        <v>434</v>
      </c>
      <c r="B145" s="158"/>
      <c r="C145" s="308"/>
      <c r="D145" s="158"/>
      <c r="E145" s="304" t="str">
        <f t="shared" si="19"/>
        <v> </v>
      </c>
      <c r="F145" s="307"/>
      <c r="G145" s="201" t="s">
        <v>434</v>
      </c>
      <c r="H145" s="240"/>
      <c r="I145" s="240"/>
      <c r="J145" s="240"/>
      <c r="K145" s="306"/>
      <c r="L145" s="240"/>
    </row>
    <row r="146" spans="1:12" ht="12.75">
      <c r="A146" s="239" t="s">
        <v>389</v>
      </c>
      <c r="B146" s="158">
        <f>SUM(B147:B148)</f>
        <v>10125184</v>
      </c>
      <c r="C146" s="308">
        <f>859370+904266+875156</f>
        <v>2638792</v>
      </c>
      <c r="D146" s="158">
        <f>SUM(D147:D148)</f>
        <v>2638792</v>
      </c>
      <c r="E146" s="304">
        <f t="shared" si="19"/>
        <v>0.2606166959533772</v>
      </c>
      <c r="F146" s="307">
        <f>SUM(F147:F148)</f>
        <v>874091</v>
      </c>
      <c r="G146" s="239" t="s">
        <v>389</v>
      </c>
      <c r="H146" s="240">
        <f>SUM(H147:H148)</f>
        <v>10125</v>
      </c>
      <c r="I146" s="305">
        <f aca="true" t="shared" si="21" ref="H146:J148">ROUND(C146/1000,0)</f>
        <v>2639</v>
      </c>
      <c r="J146" s="240">
        <f>SUM(J147:J148)</f>
        <v>2639</v>
      </c>
      <c r="K146" s="306">
        <f t="shared" si="20"/>
        <v>0.26064197530864197</v>
      </c>
      <c r="L146" s="305">
        <f>SUM(L147:L148)</f>
        <v>875</v>
      </c>
    </row>
    <row r="147" spans="1:12" ht="12.75">
      <c r="A147" s="315" t="s">
        <v>425</v>
      </c>
      <c r="B147" s="172">
        <f>280000+1890000</f>
        <v>2170000</v>
      </c>
      <c r="C147" s="316"/>
      <c r="D147" s="172">
        <v>509159</v>
      </c>
      <c r="E147" s="304">
        <f t="shared" si="19"/>
        <v>0.23463548387096775</v>
      </c>
      <c r="F147" s="307">
        <f>D147-'[7]Februāris'!D146</f>
        <v>171664</v>
      </c>
      <c r="G147" s="315" t="s">
        <v>425</v>
      </c>
      <c r="H147" s="317">
        <f t="shared" si="21"/>
        <v>2170</v>
      </c>
      <c r="I147" s="317">
        <f t="shared" si="21"/>
        <v>0</v>
      </c>
      <c r="J147" s="317">
        <f>ROUND(D147/1000,0)</f>
        <v>509</v>
      </c>
      <c r="K147" s="318">
        <f t="shared" si="20"/>
        <v>0.23456221198156682</v>
      </c>
      <c r="L147" s="305">
        <f>J147-'[7]Februāris'!J146</f>
        <v>172</v>
      </c>
    </row>
    <row r="148" spans="1:12" ht="12.75">
      <c r="A148" s="315" t="s">
        <v>426</v>
      </c>
      <c r="B148" s="172">
        <f>10125184-2170000</f>
        <v>7955184</v>
      </c>
      <c r="C148" s="316"/>
      <c r="D148" s="172">
        <v>2129633</v>
      </c>
      <c r="E148" s="304">
        <f t="shared" si="19"/>
        <v>0.26770380169710717</v>
      </c>
      <c r="F148" s="307">
        <f>D148-'[7]Februāris'!D147</f>
        <v>702427</v>
      </c>
      <c r="G148" s="315" t="s">
        <v>426</v>
      </c>
      <c r="H148" s="317">
        <f t="shared" si="21"/>
        <v>7955</v>
      </c>
      <c r="I148" s="317">
        <f t="shared" si="21"/>
        <v>0</v>
      </c>
      <c r="J148" s="317">
        <f t="shared" si="21"/>
        <v>2130</v>
      </c>
      <c r="K148" s="318">
        <f t="shared" si="20"/>
        <v>0.2677561282212445</v>
      </c>
      <c r="L148" s="305">
        <f>J148-'[7]Februāris'!J147</f>
        <v>703</v>
      </c>
    </row>
    <row r="149" spans="1:12" ht="12.75">
      <c r="A149" s="239" t="s">
        <v>391</v>
      </c>
      <c r="B149" s="158">
        <f>SUM(B150:B151)</f>
        <v>14076184</v>
      </c>
      <c r="C149" s="308">
        <f>SUM(C150:C151)</f>
        <v>3558105</v>
      </c>
      <c r="D149" s="158">
        <f>SUM(D150:D151)</f>
        <v>2635527</v>
      </c>
      <c r="E149" s="304">
        <f t="shared" si="19"/>
        <v>0.1872330597553996</v>
      </c>
      <c r="F149" s="307">
        <f>SUM(F150:F151)</f>
        <v>710000</v>
      </c>
      <c r="G149" s="239" t="s">
        <v>391</v>
      </c>
      <c r="H149" s="240">
        <f>SUM(H150:H151)</f>
        <v>14076</v>
      </c>
      <c r="I149" s="240">
        <f>SUM(I150:I151)</f>
        <v>3558</v>
      </c>
      <c r="J149" s="240">
        <f>SUM(J150:J151)</f>
        <v>2635</v>
      </c>
      <c r="K149" s="306">
        <f t="shared" si="20"/>
        <v>0.18719806763285024</v>
      </c>
      <c r="L149" s="240">
        <f>SUM(L150:L151)</f>
        <v>710</v>
      </c>
    </row>
    <row r="150" spans="1:12" ht="12.75">
      <c r="A150" s="119" t="s">
        <v>430</v>
      </c>
      <c r="B150" s="158">
        <v>9845184</v>
      </c>
      <c r="C150" s="308">
        <f>826870+874266+850156</f>
        <v>2551292</v>
      </c>
      <c r="D150" s="158">
        <v>2149383</v>
      </c>
      <c r="E150" s="304">
        <f t="shared" si="19"/>
        <v>0.21831821528170525</v>
      </c>
      <c r="F150" s="307">
        <f>D150-'[7]Februāris'!D149</f>
        <v>690057</v>
      </c>
      <c r="G150" s="322" t="s">
        <v>430</v>
      </c>
      <c r="H150" s="317">
        <f aca="true" t="shared" si="22" ref="H150:J151">ROUND(B150/1000,0)</f>
        <v>9845</v>
      </c>
      <c r="I150" s="317">
        <f t="shared" si="22"/>
        <v>2551</v>
      </c>
      <c r="J150" s="317">
        <f t="shared" si="22"/>
        <v>2149</v>
      </c>
      <c r="K150" s="318">
        <f t="shared" si="20"/>
        <v>0.21828339258506857</v>
      </c>
      <c r="L150" s="305">
        <f>J150-'[7]Februāris'!J149</f>
        <v>690</v>
      </c>
    </row>
    <row r="151" spans="1:12" ht="12.75">
      <c r="A151" s="119" t="s">
        <v>435</v>
      </c>
      <c r="B151" s="158">
        <v>4231000</v>
      </c>
      <c r="C151" s="308">
        <f>162741+426941+417131</f>
        <v>1006813</v>
      </c>
      <c r="D151" s="158">
        <v>486144</v>
      </c>
      <c r="E151" s="304">
        <f t="shared" si="19"/>
        <v>0.11490049633656346</v>
      </c>
      <c r="F151" s="307">
        <f>D151-'[7]Februāris'!D150</f>
        <v>19943</v>
      </c>
      <c r="G151" s="322" t="s">
        <v>435</v>
      </c>
      <c r="H151" s="317">
        <f t="shared" si="22"/>
        <v>4231</v>
      </c>
      <c r="I151" s="317">
        <f t="shared" si="22"/>
        <v>1007</v>
      </c>
      <c r="J151" s="317">
        <f t="shared" si="22"/>
        <v>486</v>
      </c>
      <c r="K151" s="318">
        <f t="shared" si="20"/>
        <v>0.11486646182935477</v>
      </c>
      <c r="L151" s="305">
        <f>J151-'[7]Februāris'!J150</f>
        <v>20</v>
      </c>
    </row>
    <row r="152" spans="1:12" ht="12.75">
      <c r="A152" s="239" t="s">
        <v>386</v>
      </c>
      <c r="B152" s="158">
        <f>SUM(B146-B149)</f>
        <v>-3951000</v>
      </c>
      <c r="C152" s="308">
        <f>SUM(C146-C149)</f>
        <v>-919313</v>
      </c>
      <c r="D152" s="158">
        <f>SUM(D146-D149)</f>
        <v>3265</v>
      </c>
      <c r="E152" s="304">
        <f t="shared" si="19"/>
        <v>-0.0008263730701088332</v>
      </c>
      <c r="F152" s="307">
        <f>D152-'[7]Februāris'!D151</f>
        <v>164091</v>
      </c>
      <c r="G152" s="239" t="s">
        <v>386</v>
      </c>
      <c r="H152" s="240">
        <f>SUM(H146-H149)</f>
        <v>-3951</v>
      </c>
      <c r="I152" s="240">
        <f>SUM(I146-I149)</f>
        <v>-919</v>
      </c>
      <c r="J152" s="240">
        <f>SUM(J146-J149)</f>
        <v>4</v>
      </c>
      <c r="K152" s="306">
        <f t="shared" si="20"/>
        <v>-0.0010124019235636548</v>
      </c>
      <c r="L152" s="305">
        <f>J152-'[7]Februāris'!J151</f>
        <v>165</v>
      </c>
    </row>
    <row r="153" spans="1:12" ht="12.75">
      <c r="A153" s="239" t="s">
        <v>387</v>
      </c>
      <c r="B153" s="158">
        <v>3951000</v>
      </c>
      <c r="C153" s="308">
        <f>130241+396941+392131</f>
        <v>919313</v>
      </c>
      <c r="D153" s="158">
        <v>445522</v>
      </c>
      <c r="E153" s="304">
        <f t="shared" si="19"/>
        <v>0.11276183244748166</v>
      </c>
      <c r="F153" s="307">
        <f>D153-'[7]Februāris'!D152</f>
        <v>14945</v>
      </c>
      <c r="G153" s="239" t="s">
        <v>387</v>
      </c>
      <c r="H153" s="305">
        <f>ROUND(B153/1000,0)</f>
        <v>3951</v>
      </c>
      <c r="I153" s="305">
        <f>ROUND(C153/1000,0)</f>
        <v>919</v>
      </c>
      <c r="J153" s="305">
        <f>ROUND(D153/1000,0)</f>
        <v>446</v>
      </c>
      <c r="K153" s="306">
        <f t="shared" si="20"/>
        <v>0.1128828144773475</v>
      </c>
      <c r="L153" s="305">
        <f>J153-'[7]Februāris'!J152</f>
        <v>15</v>
      </c>
    </row>
    <row r="154" spans="1:12" ht="25.5">
      <c r="A154" s="126" t="s">
        <v>290</v>
      </c>
      <c r="B154" s="6"/>
      <c r="C154" s="309"/>
      <c r="D154" s="6"/>
      <c r="E154" s="304" t="str">
        <f t="shared" si="19"/>
        <v> </v>
      </c>
      <c r="F154" s="303"/>
      <c r="G154" s="126" t="s">
        <v>290</v>
      </c>
      <c r="H154" s="248"/>
      <c r="I154" s="248"/>
      <c r="J154" s="248"/>
      <c r="K154" s="306"/>
      <c r="L154" s="248"/>
    </row>
    <row r="155" spans="1:12" ht="12.75">
      <c r="A155" s="201" t="s">
        <v>436</v>
      </c>
      <c r="B155" s="158"/>
      <c r="C155" s="308"/>
      <c r="D155" s="158"/>
      <c r="E155" s="304" t="str">
        <f t="shared" si="19"/>
        <v> </v>
      </c>
      <c r="F155" s="307"/>
      <c r="G155" s="201" t="s">
        <v>436</v>
      </c>
      <c r="H155" s="240"/>
      <c r="I155" s="240"/>
      <c r="J155" s="240"/>
      <c r="K155" s="306"/>
      <c r="L155" s="240"/>
    </row>
    <row r="156" spans="1:12" ht="12.75">
      <c r="A156" s="239" t="s">
        <v>389</v>
      </c>
      <c r="B156" s="158">
        <f>SUM(B157:B159)</f>
        <v>8568100</v>
      </c>
      <c r="C156" s="308">
        <v>2180061</v>
      </c>
      <c r="D156" s="158">
        <f>SUM(D157:D159)</f>
        <v>2166551</v>
      </c>
      <c r="E156" s="304">
        <f t="shared" si="19"/>
        <v>0.2528624782623919</v>
      </c>
      <c r="F156" s="307">
        <f>SUM(F157:F159)</f>
        <v>760313</v>
      </c>
      <c r="G156" s="239" t="s">
        <v>389</v>
      </c>
      <c r="H156" s="240">
        <f>SUM(H157:H159)</f>
        <v>8568</v>
      </c>
      <c r="I156" s="305">
        <f>ROUND(C156/1000,0)</f>
        <v>2180</v>
      </c>
      <c r="J156" s="240">
        <f>SUM(J157:J159)</f>
        <v>2166</v>
      </c>
      <c r="K156" s="306">
        <f t="shared" si="20"/>
        <v>0.25280112044817926</v>
      </c>
      <c r="L156" s="240">
        <f>SUM(L157:L159)</f>
        <v>760</v>
      </c>
    </row>
    <row r="157" spans="1:12" ht="12.75">
      <c r="A157" s="239" t="s">
        <v>437</v>
      </c>
      <c r="B157" s="158">
        <v>8000000</v>
      </c>
      <c r="C157" s="308"/>
      <c r="D157" s="158">
        <v>2010304</v>
      </c>
      <c r="E157" s="304">
        <f t="shared" si="19"/>
        <v>0.251288</v>
      </c>
      <c r="F157" s="307">
        <f>D157-'[7]Februāris'!D156</f>
        <v>745189</v>
      </c>
      <c r="G157" s="239" t="s">
        <v>437</v>
      </c>
      <c r="H157" s="305">
        <f>ROUND(B157/1000,0)</f>
        <v>8000</v>
      </c>
      <c r="I157" s="305">
        <f>ROUND(C157/1000,0)</f>
        <v>0</v>
      </c>
      <c r="J157" s="305">
        <f>ROUND(D157/1000,0)</f>
        <v>2010</v>
      </c>
      <c r="K157" s="306">
        <f t="shared" si="20"/>
        <v>0.25125</v>
      </c>
      <c r="L157" s="305">
        <f>J157-'[7]Februāris'!J156</f>
        <v>745</v>
      </c>
    </row>
    <row r="158" spans="1:12" ht="12.75">
      <c r="A158" s="239" t="s">
        <v>438</v>
      </c>
      <c r="B158" s="158">
        <v>350000</v>
      </c>
      <c r="C158" s="308"/>
      <c r="D158" s="158">
        <v>135531</v>
      </c>
      <c r="E158" s="304">
        <f t="shared" si="19"/>
        <v>0.38723142857142856</v>
      </c>
      <c r="F158" s="307">
        <f>D158-'[7]Februāris'!D157</f>
        <v>42368</v>
      </c>
      <c r="G158" s="239" t="s">
        <v>438</v>
      </c>
      <c r="H158" s="305">
        <f>ROUND(B158/1000,0)</f>
        <v>350</v>
      </c>
      <c r="I158" s="305">
        <f>ROUND(C158/1000,0)</f>
        <v>0</v>
      </c>
      <c r="J158" s="305">
        <f>ROUND(D158/1000,0)-1</f>
        <v>135</v>
      </c>
      <c r="K158" s="306">
        <f t="shared" si="20"/>
        <v>0.38571428571428573</v>
      </c>
      <c r="L158" s="305">
        <f>J158-'[7]Februāris'!J157</f>
        <v>42</v>
      </c>
    </row>
    <row r="159" spans="1:12" ht="12.75">
      <c r="A159" s="239" t="s">
        <v>319</v>
      </c>
      <c r="B159" s="158">
        <f>150000+68100</f>
        <v>218100</v>
      </c>
      <c r="C159" s="308"/>
      <c r="D159" s="158">
        <f>8107+12609</f>
        <v>20716</v>
      </c>
      <c r="E159" s="304">
        <f t="shared" si="19"/>
        <v>0.09498395231545163</v>
      </c>
      <c r="F159" s="307">
        <f>D159-'[7]Februāris'!D158</f>
        <v>-27244</v>
      </c>
      <c r="G159" s="239" t="s">
        <v>319</v>
      </c>
      <c r="H159" s="305">
        <f>ROUND(B159/1000,0)</f>
        <v>218</v>
      </c>
      <c r="I159" s="305">
        <f>ROUND(C159/1000,0)</f>
        <v>0</v>
      </c>
      <c r="J159" s="305">
        <f>ROUND(D159/1000,0)</f>
        <v>21</v>
      </c>
      <c r="K159" s="306">
        <f t="shared" si="20"/>
        <v>0.0963302752293578</v>
      </c>
      <c r="L159" s="305">
        <f>J159-'[7]Februāris'!J158</f>
        <v>-27</v>
      </c>
    </row>
    <row r="160" spans="1:12" ht="12.75">
      <c r="A160" s="239" t="s">
        <v>391</v>
      </c>
      <c r="B160" s="158">
        <f>SUM(B161:B162)</f>
        <v>8563245</v>
      </c>
      <c r="C160" s="308">
        <f>SUM(C161:C162)</f>
        <v>2175206</v>
      </c>
      <c r="D160" s="158">
        <f>SUM(D161:D162)</f>
        <v>1544705</v>
      </c>
      <c r="E160" s="304">
        <f t="shared" si="19"/>
        <v>0.18038780859358805</v>
      </c>
      <c r="F160" s="307">
        <f>SUM(F161:F162)</f>
        <v>720607</v>
      </c>
      <c r="G160" s="239" t="s">
        <v>391</v>
      </c>
      <c r="H160" s="240">
        <f>SUM(H161:H162)</f>
        <v>8563</v>
      </c>
      <c r="I160" s="240">
        <f>SUM(I161:I162)</f>
        <v>2175</v>
      </c>
      <c r="J160" s="240">
        <f>SUM(J161:J162)</f>
        <v>1544</v>
      </c>
      <c r="K160" s="306">
        <f t="shared" si="20"/>
        <v>0.1803106387948149</v>
      </c>
      <c r="L160" s="240">
        <f>SUM(L161:L162)</f>
        <v>720</v>
      </c>
    </row>
    <row r="161" spans="1:12" ht="12.75">
      <c r="A161" s="239" t="s">
        <v>392</v>
      </c>
      <c r="B161" s="158">
        <v>3815245</v>
      </c>
      <c r="C161" s="308">
        <v>1001006</v>
      </c>
      <c r="D161" s="158">
        <v>921387</v>
      </c>
      <c r="E161" s="304">
        <f t="shared" si="19"/>
        <v>0.24150139768219342</v>
      </c>
      <c r="F161" s="307">
        <f>D161-'[7]Februāris'!D160</f>
        <v>300105</v>
      </c>
      <c r="G161" s="239" t="s">
        <v>392</v>
      </c>
      <c r="H161" s="305">
        <f aca="true" t="shared" si="23" ref="H161:J162">ROUND(B161/1000,0)</f>
        <v>3815</v>
      </c>
      <c r="I161" s="305">
        <f t="shared" si="23"/>
        <v>1001</v>
      </c>
      <c r="J161" s="305">
        <f t="shared" si="23"/>
        <v>921</v>
      </c>
      <c r="K161" s="306">
        <f t="shared" si="20"/>
        <v>0.24141546526867627</v>
      </c>
      <c r="L161" s="305">
        <f>J161-'[7]Februāris'!J160</f>
        <v>300</v>
      </c>
    </row>
    <row r="162" spans="1:12" ht="12.75">
      <c r="A162" s="239" t="s">
        <v>383</v>
      </c>
      <c r="B162" s="158">
        <v>4748000</v>
      </c>
      <c r="C162" s="308">
        <v>1174200</v>
      </c>
      <c r="D162" s="158">
        <v>623318</v>
      </c>
      <c r="E162" s="304">
        <f t="shared" si="19"/>
        <v>0.13128011794439765</v>
      </c>
      <c r="F162" s="307">
        <f>D162-'[7]Februāris'!D161</f>
        <v>420502</v>
      </c>
      <c r="G162" s="239" t="s">
        <v>383</v>
      </c>
      <c r="H162" s="305">
        <f t="shared" si="23"/>
        <v>4748</v>
      </c>
      <c r="I162" s="305">
        <f t="shared" si="23"/>
        <v>1174</v>
      </c>
      <c r="J162" s="305">
        <f t="shared" si="23"/>
        <v>623</v>
      </c>
      <c r="K162" s="306">
        <f t="shared" si="20"/>
        <v>0.13121314237573714</v>
      </c>
      <c r="L162" s="305">
        <f>J162-'[7]Februāris'!J161</f>
        <v>420</v>
      </c>
    </row>
    <row r="163" spans="1:12" ht="12.75">
      <c r="A163" s="201" t="s">
        <v>439</v>
      </c>
      <c r="B163" s="158"/>
      <c r="C163" s="308"/>
      <c r="D163" s="158"/>
      <c r="E163" s="304" t="str">
        <f t="shared" si="19"/>
        <v> </v>
      </c>
      <c r="F163" s="307"/>
      <c r="G163" s="201" t="s">
        <v>439</v>
      </c>
      <c r="H163" s="240"/>
      <c r="I163" s="240"/>
      <c r="J163" s="240"/>
      <c r="K163" s="306"/>
      <c r="L163" s="240"/>
    </row>
    <row r="164" spans="1:12" ht="12.75">
      <c r="A164" s="239" t="s">
        <v>389</v>
      </c>
      <c r="B164" s="158">
        <v>228000</v>
      </c>
      <c r="C164" s="308">
        <v>228000</v>
      </c>
      <c r="D164" s="158">
        <v>443709</v>
      </c>
      <c r="E164" s="304">
        <f t="shared" si="19"/>
        <v>1.946092105263158</v>
      </c>
      <c r="F164" s="307">
        <f>D164-'[7]Februāris'!D163</f>
        <v>0.09999999997671694</v>
      </c>
      <c r="G164" s="239" t="s">
        <v>389</v>
      </c>
      <c r="H164" s="305">
        <f>ROUND(B164/1000,0)</f>
        <v>228</v>
      </c>
      <c r="I164" s="305">
        <f>ROUND(C164/1000,0)</f>
        <v>228</v>
      </c>
      <c r="J164" s="305">
        <f>ROUND(D164/1000,0)</f>
        <v>444</v>
      </c>
      <c r="K164" s="306">
        <f t="shared" si="20"/>
        <v>1.9473684210526316</v>
      </c>
      <c r="L164" s="305">
        <f>J164-'[7]Februāris'!J163</f>
        <v>0</v>
      </c>
    </row>
    <row r="165" spans="1:12" ht="12.75">
      <c r="A165" s="239" t="s">
        <v>391</v>
      </c>
      <c r="B165" s="158">
        <f>SUM(B166:B167)</f>
        <v>228000</v>
      </c>
      <c r="C165" s="308">
        <f>SUM(C166:C167)</f>
        <v>228000</v>
      </c>
      <c r="D165" s="158">
        <f>SUM(D166:D167)</f>
        <v>210146</v>
      </c>
      <c r="E165" s="304">
        <f t="shared" si="19"/>
        <v>0.9216929824561404</v>
      </c>
      <c r="F165" s="307">
        <f>SUM(F166:F167)</f>
        <v>89</v>
      </c>
      <c r="G165" s="239" t="s">
        <v>391</v>
      </c>
      <c r="H165" s="240">
        <f>SUM(H166:H167)</f>
        <v>228</v>
      </c>
      <c r="I165" s="240">
        <f>SUM(I166:I167)</f>
        <v>228</v>
      </c>
      <c r="J165" s="240">
        <f>SUM(J166:J167)</f>
        <v>210</v>
      </c>
      <c r="K165" s="306">
        <f t="shared" si="20"/>
        <v>0.9210526315789473</v>
      </c>
      <c r="L165" s="240">
        <f>SUM(L166:L167)</f>
        <v>0</v>
      </c>
    </row>
    <row r="166" spans="1:12" ht="12.75">
      <c r="A166" s="239" t="s">
        <v>392</v>
      </c>
      <c r="B166" s="158">
        <v>63556</v>
      </c>
      <c r="C166" s="308">
        <v>63556</v>
      </c>
      <c r="D166" s="158">
        <v>45702</v>
      </c>
      <c r="E166" s="304">
        <f t="shared" si="19"/>
        <v>0.7190823840392725</v>
      </c>
      <c r="F166" s="307">
        <f>D166-'[7]Februāris'!D165</f>
        <v>89</v>
      </c>
      <c r="G166" s="239" t="s">
        <v>392</v>
      </c>
      <c r="H166" s="305">
        <f aca="true" t="shared" si="24" ref="H166:J167">ROUND(B166/1000,0)</f>
        <v>64</v>
      </c>
      <c r="I166" s="305">
        <f t="shared" si="24"/>
        <v>64</v>
      </c>
      <c r="J166" s="305">
        <f t="shared" si="24"/>
        <v>46</v>
      </c>
      <c r="K166" s="306">
        <f t="shared" si="20"/>
        <v>0.71875</v>
      </c>
      <c r="L166" s="305">
        <f>J166-'[7]Februāris'!J165</f>
        <v>0</v>
      </c>
    </row>
    <row r="167" spans="1:12" ht="17.25" customHeight="1">
      <c r="A167" s="239" t="s">
        <v>383</v>
      </c>
      <c r="B167" s="158">
        <v>164444</v>
      </c>
      <c r="C167" s="308">
        <v>164444</v>
      </c>
      <c r="D167" s="158">
        <v>164444</v>
      </c>
      <c r="E167" s="304">
        <f t="shared" si="19"/>
        <v>1</v>
      </c>
      <c r="F167" s="307">
        <f>D167-'[7]Februāris'!D166</f>
        <v>0</v>
      </c>
      <c r="G167" s="239" t="s">
        <v>383</v>
      </c>
      <c r="H167" s="305">
        <f t="shared" si="24"/>
        <v>164</v>
      </c>
      <c r="I167" s="305">
        <f t="shared" si="24"/>
        <v>164</v>
      </c>
      <c r="J167" s="305">
        <f>ROUND(D167/1000,0)</f>
        <v>164</v>
      </c>
      <c r="K167" s="306">
        <f t="shared" si="20"/>
        <v>1</v>
      </c>
      <c r="L167" s="305">
        <f>J167-'[7]Februāris'!J166</f>
        <v>0</v>
      </c>
    </row>
    <row r="168" spans="1:12" ht="31.5" customHeight="1">
      <c r="A168" s="26" t="s">
        <v>291</v>
      </c>
      <c r="B168" s="6"/>
      <c r="C168" s="309"/>
      <c r="D168" s="6"/>
      <c r="E168" s="304" t="str">
        <f t="shared" si="19"/>
        <v> </v>
      </c>
      <c r="F168" s="303"/>
      <c r="G168" s="26" t="s">
        <v>291</v>
      </c>
      <c r="H168" s="248"/>
      <c r="I168" s="248"/>
      <c r="J168" s="248"/>
      <c r="K168" s="306"/>
      <c r="L168" s="248"/>
    </row>
    <row r="169" spans="1:12" ht="12.75">
      <c r="A169" s="201" t="s">
        <v>440</v>
      </c>
      <c r="B169" s="158"/>
      <c r="C169" s="308"/>
      <c r="D169" s="158"/>
      <c r="E169" s="304" t="str">
        <f t="shared" si="19"/>
        <v> </v>
      </c>
      <c r="F169" s="307"/>
      <c r="G169" s="201" t="s">
        <v>440</v>
      </c>
      <c r="H169" s="240"/>
      <c r="I169" s="240"/>
      <c r="J169" s="240"/>
      <c r="K169" s="306"/>
      <c r="L169" s="240"/>
    </row>
    <row r="170" spans="1:12" ht="12.75">
      <c r="A170" s="239" t="s">
        <v>389</v>
      </c>
      <c r="B170" s="158">
        <f>SUM(B171:B173)</f>
        <v>2400000</v>
      </c>
      <c r="C170" s="308">
        <v>509000</v>
      </c>
      <c r="D170" s="158">
        <f>SUM(D171:D173)</f>
        <v>423688</v>
      </c>
      <c r="E170" s="304">
        <f t="shared" si="19"/>
        <v>0.17653666666666668</v>
      </c>
      <c r="F170" s="307">
        <f>SUM(F171:F173)</f>
        <v>160410</v>
      </c>
      <c r="G170" s="239" t="s">
        <v>389</v>
      </c>
      <c r="H170" s="240">
        <f>SUM(H171:H173)</f>
        <v>2400</v>
      </c>
      <c r="I170" s="305">
        <f>ROUND(C170/1000,0)</f>
        <v>509</v>
      </c>
      <c r="J170" s="240">
        <f>SUM(J171:J173)</f>
        <v>424</v>
      </c>
      <c r="K170" s="306">
        <f t="shared" si="20"/>
        <v>0.17666666666666667</v>
      </c>
      <c r="L170" s="240">
        <f>SUM(L171:L173)</f>
        <v>161</v>
      </c>
    </row>
    <row r="171" spans="1:12" ht="29.25" customHeight="1">
      <c r="A171" s="119" t="s">
        <v>441</v>
      </c>
      <c r="B171" s="158">
        <v>1578000</v>
      </c>
      <c r="C171" s="308"/>
      <c r="D171" s="158">
        <v>301872</v>
      </c>
      <c r="E171" s="304">
        <f t="shared" si="19"/>
        <v>0.1913003802281369</v>
      </c>
      <c r="F171" s="307">
        <f>D171-'[7]Februāris'!D170</f>
        <v>103351</v>
      </c>
      <c r="G171" s="119" t="s">
        <v>441</v>
      </c>
      <c r="H171" s="305">
        <f>ROUND(B171/1000,0)</f>
        <v>1578</v>
      </c>
      <c r="I171" s="305">
        <f>ROUND(C171/1000,0)</f>
        <v>0</v>
      </c>
      <c r="J171" s="305">
        <f>ROUND(D171/1000,0)</f>
        <v>302</v>
      </c>
      <c r="K171" s="306">
        <f t="shared" si="20"/>
        <v>0.19138149556400508</v>
      </c>
      <c r="L171" s="305">
        <f>J171-'[7]Februāris'!J170</f>
        <v>104</v>
      </c>
    </row>
    <row r="172" spans="1:12" ht="27.75" customHeight="1">
      <c r="A172" s="119" t="s">
        <v>442</v>
      </c>
      <c r="B172" s="158">
        <v>618000</v>
      </c>
      <c r="C172" s="308"/>
      <c r="D172" s="158">
        <v>121816</v>
      </c>
      <c r="E172" s="304">
        <f>IF(ISERROR(D172/B172)," ",(D172/B172))</f>
        <v>0.19711326860841424</v>
      </c>
      <c r="F172" s="307">
        <f>D172-'[7]Februāris'!D171</f>
        <v>57059</v>
      </c>
      <c r="G172" s="119" t="s">
        <v>442</v>
      </c>
      <c r="H172" s="305">
        <f>ROUND(B172/1000,0)</f>
        <v>618</v>
      </c>
      <c r="I172" s="305">
        <f>ROUND(C172/1000,0)</f>
        <v>0</v>
      </c>
      <c r="J172" s="305">
        <f>ROUND(D172/1000,0)</f>
        <v>122</v>
      </c>
      <c r="K172" s="306">
        <f>IF(ISERROR(ROUND(J172,0)/ROUND(H172,0))," ",(ROUND(J172,)/ROUND(H172,)))</f>
        <v>0.19741100323624594</v>
      </c>
      <c r="L172" s="305">
        <f>J172-'[7]Februāris'!J171</f>
        <v>57</v>
      </c>
    </row>
    <row r="173" spans="1:12" ht="12.75">
      <c r="A173" s="239" t="s">
        <v>422</v>
      </c>
      <c r="B173" s="158">
        <v>204000</v>
      </c>
      <c r="C173" s="308"/>
      <c r="D173" s="158"/>
      <c r="E173" s="304">
        <f t="shared" si="19"/>
        <v>0</v>
      </c>
      <c r="F173" s="307">
        <f>D173-'[7]Februāris'!D172</f>
        <v>0</v>
      </c>
      <c r="G173" s="239" t="s">
        <v>422</v>
      </c>
      <c r="H173" s="305">
        <f>ROUND(B173/1000,0)</f>
        <v>204</v>
      </c>
      <c r="I173" s="305">
        <f>ROUND(C173/1000,0)</f>
        <v>0</v>
      </c>
      <c r="J173" s="305">
        <f>ROUND(D173/1000,0)</f>
        <v>0</v>
      </c>
      <c r="K173" s="306">
        <f t="shared" si="20"/>
        <v>0</v>
      </c>
      <c r="L173" s="305">
        <f>J173-'[7]Februāris'!J172</f>
        <v>0</v>
      </c>
    </row>
    <row r="174" spans="1:12" ht="12.75">
      <c r="A174" s="239" t="s">
        <v>391</v>
      </c>
      <c r="B174" s="158">
        <f>B175</f>
        <v>2400000</v>
      </c>
      <c r="C174" s="308">
        <f>SUM(C175)</f>
        <v>509000</v>
      </c>
      <c r="D174" s="158">
        <f>D175</f>
        <v>509000</v>
      </c>
      <c r="E174" s="304">
        <f t="shared" si="19"/>
        <v>0.21208333333333335</v>
      </c>
      <c r="F174" s="307">
        <f>F175</f>
        <v>175000</v>
      </c>
      <c r="G174" s="239" t="s">
        <v>391</v>
      </c>
      <c r="H174" s="240">
        <f>H175</f>
        <v>2400</v>
      </c>
      <c r="I174" s="240">
        <f>I175</f>
        <v>509</v>
      </c>
      <c r="J174" s="240">
        <f>J175</f>
        <v>509</v>
      </c>
      <c r="K174" s="306">
        <f t="shared" si="20"/>
        <v>0.21208333333333335</v>
      </c>
      <c r="L174" s="240">
        <f>L175</f>
        <v>175</v>
      </c>
    </row>
    <row r="175" spans="1:12" ht="12.75">
      <c r="A175" s="239" t="s">
        <v>392</v>
      </c>
      <c r="B175" s="158">
        <v>2400000</v>
      </c>
      <c r="C175" s="308">
        <v>509000</v>
      </c>
      <c r="D175" s="158">
        <v>509000</v>
      </c>
      <c r="E175" s="304">
        <f t="shared" si="19"/>
        <v>0.21208333333333335</v>
      </c>
      <c r="F175" s="307">
        <f>D175-'[7]Februāris'!D174</f>
        <v>175000</v>
      </c>
      <c r="G175" s="239" t="s">
        <v>392</v>
      </c>
      <c r="H175" s="305">
        <f>ROUND(B175/1000,0)</f>
        <v>2400</v>
      </c>
      <c r="I175" s="305">
        <f>ROUND(C175/1000,0)</f>
        <v>509</v>
      </c>
      <c r="J175" s="305">
        <f>ROUND(D175/1000,0)</f>
        <v>509</v>
      </c>
      <c r="K175" s="306">
        <f t="shared" si="20"/>
        <v>0.21208333333333335</v>
      </c>
      <c r="L175" s="305">
        <f>J175-'[7]Februāris'!J174</f>
        <v>175</v>
      </c>
    </row>
    <row r="176" spans="1:12" ht="38.25">
      <c r="A176" s="126" t="s">
        <v>443</v>
      </c>
      <c r="B176" s="239"/>
      <c r="C176" s="323"/>
      <c r="D176" s="239"/>
      <c r="E176" s="304" t="str">
        <f t="shared" si="19"/>
        <v> </v>
      </c>
      <c r="F176" s="324"/>
      <c r="G176" s="126" t="s">
        <v>443</v>
      </c>
      <c r="H176" s="240"/>
      <c r="I176" s="240"/>
      <c r="J176" s="240"/>
      <c r="K176" s="306"/>
      <c r="L176" s="240"/>
    </row>
    <row r="177" spans="1:12" ht="12.75">
      <c r="A177" s="239" t="s">
        <v>389</v>
      </c>
      <c r="B177" s="239">
        <f>B178</f>
        <v>144073</v>
      </c>
      <c r="C177" s="323">
        <f>SUM(C178)</f>
        <v>36018</v>
      </c>
      <c r="D177" s="239">
        <f>D178</f>
        <v>19030</v>
      </c>
      <c r="E177" s="304">
        <f t="shared" si="19"/>
        <v>0.13208581760635232</v>
      </c>
      <c r="F177" s="324">
        <f>F178</f>
        <v>11030</v>
      </c>
      <c r="G177" s="239" t="s">
        <v>389</v>
      </c>
      <c r="H177" s="240">
        <f>H178</f>
        <v>144</v>
      </c>
      <c r="I177" s="305">
        <f>ROUND(C177/1000,0)</f>
        <v>36</v>
      </c>
      <c r="J177" s="240">
        <f>J178</f>
        <v>19</v>
      </c>
      <c r="K177" s="306">
        <f t="shared" si="20"/>
        <v>0.13194444444444445</v>
      </c>
      <c r="L177" s="240">
        <f>L178</f>
        <v>11</v>
      </c>
    </row>
    <row r="178" spans="1:12" ht="25.5">
      <c r="A178" s="119" t="s">
        <v>444</v>
      </c>
      <c r="B178" s="239">
        <v>144073</v>
      </c>
      <c r="C178" s="323">
        <v>36018</v>
      </c>
      <c r="D178" s="239">
        <v>19030</v>
      </c>
      <c r="E178" s="304">
        <f t="shared" si="19"/>
        <v>0.13208581760635232</v>
      </c>
      <c r="F178" s="307">
        <f>D178-'[7]Februāris'!D177</f>
        <v>11030</v>
      </c>
      <c r="G178" s="119" t="s">
        <v>444</v>
      </c>
      <c r="H178" s="305">
        <f>ROUND(B178/1000,0)</f>
        <v>144</v>
      </c>
      <c r="I178" s="305">
        <f>ROUND(C178/1000,0)</f>
        <v>36</v>
      </c>
      <c r="J178" s="305">
        <f>ROUND(D178/1000,0)</f>
        <v>19</v>
      </c>
      <c r="K178" s="306">
        <f t="shared" si="20"/>
        <v>0.13194444444444445</v>
      </c>
      <c r="L178" s="305">
        <f>J178-'[7]Februāris'!J177</f>
        <v>11</v>
      </c>
    </row>
    <row r="179" spans="1:12" ht="12.75">
      <c r="A179" s="239" t="s">
        <v>391</v>
      </c>
      <c r="B179" s="158">
        <f>SUM(B180:B181)</f>
        <v>200829</v>
      </c>
      <c r="C179" s="308">
        <f>SUM(C180:C181)</f>
        <v>53368</v>
      </c>
      <c r="D179" s="158">
        <f>SUM(D180:D181)</f>
        <v>47885</v>
      </c>
      <c r="E179" s="304">
        <f t="shared" si="19"/>
        <v>0.23843667996155934</v>
      </c>
      <c r="F179" s="307">
        <f>SUM(F180:F181)</f>
        <v>26699</v>
      </c>
      <c r="G179" s="239" t="s">
        <v>391</v>
      </c>
      <c r="H179" s="240">
        <f>SUM(H180:H181)</f>
        <v>201</v>
      </c>
      <c r="I179" s="240">
        <f>SUM(I180:I181)</f>
        <v>53</v>
      </c>
      <c r="J179" s="240">
        <f>SUM(J180:J181)</f>
        <v>48</v>
      </c>
      <c r="K179" s="306">
        <f t="shared" si="20"/>
        <v>0.23880597014925373</v>
      </c>
      <c r="L179" s="240">
        <f>SUM(L180:L181)</f>
        <v>27</v>
      </c>
    </row>
    <row r="180" spans="1:12" ht="12.75">
      <c r="A180" s="239" t="s">
        <v>392</v>
      </c>
      <c r="B180" s="158">
        <v>189219</v>
      </c>
      <c r="C180" s="308">
        <v>43464</v>
      </c>
      <c r="D180" s="158">
        <v>38871</v>
      </c>
      <c r="E180" s="304">
        <f t="shared" si="19"/>
        <v>0.20542863031725145</v>
      </c>
      <c r="F180" s="307">
        <f>D180-'[7]Februāris'!D179</f>
        <v>25904</v>
      </c>
      <c r="G180" s="239" t="s">
        <v>392</v>
      </c>
      <c r="H180" s="305">
        <f aca="true" t="shared" si="25" ref="H180:J183">ROUND(B180/1000,0)</f>
        <v>189</v>
      </c>
      <c r="I180" s="305">
        <f t="shared" si="25"/>
        <v>43</v>
      </c>
      <c r="J180" s="305">
        <f t="shared" si="25"/>
        <v>39</v>
      </c>
      <c r="K180" s="306">
        <f t="shared" si="20"/>
        <v>0.20634920634920634</v>
      </c>
      <c r="L180" s="305">
        <f>J180-'[7]Februāris'!J179</f>
        <v>26</v>
      </c>
    </row>
    <row r="181" spans="1:12" ht="12.75">
      <c r="A181" s="239" t="s">
        <v>383</v>
      </c>
      <c r="B181" s="158">
        <v>11610</v>
      </c>
      <c r="C181" s="308">
        <v>9904</v>
      </c>
      <c r="D181" s="158">
        <v>9014</v>
      </c>
      <c r="E181" s="304">
        <f t="shared" si="19"/>
        <v>0.7763996554694229</v>
      </c>
      <c r="F181" s="307">
        <f>D181-'[7]Februāris'!D180</f>
        <v>795</v>
      </c>
      <c r="G181" s="239" t="s">
        <v>383</v>
      </c>
      <c r="H181" s="305">
        <f t="shared" si="25"/>
        <v>12</v>
      </c>
      <c r="I181" s="305">
        <f t="shared" si="25"/>
        <v>10</v>
      </c>
      <c r="J181" s="305">
        <f t="shared" si="25"/>
        <v>9</v>
      </c>
      <c r="K181" s="306">
        <f t="shared" si="20"/>
        <v>0.75</v>
      </c>
      <c r="L181" s="305">
        <f>J181-'[7]Februāris'!J180</f>
        <v>1</v>
      </c>
    </row>
    <row r="182" spans="1:12" ht="12.75">
      <c r="A182" s="239" t="s">
        <v>386</v>
      </c>
      <c r="B182" s="158">
        <f>SUM(B177-B179)</f>
        <v>-56756</v>
      </c>
      <c r="C182" s="308">
        <f>SUM(C177-C179)</f>
        <v>-17350</v>
      </c>
      <c r="D182" s="158">
        <f>SUM(D177-D179)</f>
        <v>-28855</v>
      </c>
      <c r="E182" s="304">
        <f t="shared" si="19"/>
        <v>0.5084043977729227</v>
      </c>
      <c r="F182" s="307">
        <f>D182-'[7]Februāris'!D181</f>
        <v>-15669</v>
      </c>
      <c r="G182" s="239" t="s">
        <v>386</v>
      </c>
      <c r="H182" s="240">
        <f>SUM(H177-H179)</f>
        <v>-57</v>
      </c>
      <c r="I182" s="240">
        <f>SUM(I177-I179)</f>
        <v>-17</v>
      </c>
      <c r="J182" s="240">
        <f>SUM(J177-J179)</f>
        <v>-29</v>
      </c>
      <c r="K182" s="306">
        <f t="shared" si="20"/>
        <v>0.5087719298245614</v>
      </c>
      <c r="L182" s="305">
        <f>J182-'[7]Februāris'!J181</f>
        <v>-16</v>
      </c>
    </row>
    <row r="183" spans="1:12" ht="12.75">
      <c r="A183" s="239" t="s">
        <v>387</v>
      </c>
      <c r="B183" s="158">
        <f>-B182</f>
        <v>56756</v>
      </c>
      <c r="C183" s="158">
        <f>10682+3334+3334</f>
        <v>17350</v>
      </c>
      <c r="D183" s="158">
        <v>17350</v>
      </c>
      <c r="E183" s="304">
        <f t="shared" si="19"/>
        <v>0.30569455211783775</v>
      </c>
      <c r="F183" s="307">
        <f>D183-'[7]Februāris'!D182</f>
        <v>3334</v>
      </c>
      <c r="G183" s="239" t="s">
        <v>387</v>
      </c>
      <c r="H183" s="240">
        <f>-H182</f>
        <v>57</v>
      </c>
      <c r="I183" s="305">
        <f>ROUND(C183/1000,0)</f>
        <v>17</v>
      </c>
      <c r="J183" s="305">
        <f t="shared" si="25"/>
        <v>17</v>
      </c>
      <c r="K183" s="306">
        <f t="shared" si="20"/>
        <v>0.2982456140350877</v>
      </c>
      <c r="L183" s="305">
        <f>J183-'[7]Februāris'!J182</f>
        <v>3</v>
      </c>
    </row>
    <row r="184" spans="1:12" ht="12.75">
      <c r="A184" s="325"/>
      <c r="B184" s="131"/>
      <c r="C184" s="131"/>
      <c r="D184" s="131"/>
      <c r="E184" s="131"/>
      <c r="F184" s="294"/>
      <c r="H184" s="131"/>
      <c r="I184" s="131"/>
      <c r="J184" s="131"/>
      <c r="K184" s="131"/>
      <c r="L184" s="131"/>
    </row>
    <row r="185" spans="1:12" ht="12.75">
      <c r="A185" s="325"/>
      <c r="B185" s="131"/>
      <c r="C185" s="131"/>
      <c r="D185" s="131"/>
      <c r="E185" s="131"/>
      <c r="F185" s="294"/>
      <c r="H185" s="295"/>
      <c r="I185" s="131"/>
      <c r="J185" s="131"/>
      <c r="K185" s="131"/>
      <c r="L185" s="294"/>
    </row>
    <row r="186" spans="1:12" ht="12.75">
      <c r="A186" s="131"/>
      <c r="B186" s="131"/>
      <c r="C186" s="131"/>
      <c r="D186" s="131"/>
      <c r="E186" s="131"/>
      <c r="F186" s="294"/>
      <c r="G186" s="131" t="s">
        <v>445</v>
      </c>
      <c r="H186" s="325"/>
      <c r="I186" s="131"/>
      <c r="J186" s="131"/>
      <c r="K186" s="131"/>
      <c r="L186" s="294"/>
    </row>
    <row r="187" spans="1:12" ht="12.75">
      <c r="A187" s="294"/>
      <c r="B187" s="294"/>
      <c r="C187" s="294"/>
      <c r="D187" s="32"/>
      <c r="E187" s="32"/>
      <c r="F187" s="294"/>
      <c r="G187" s="295"/>
      <c r="H187" s="32"/>
      <c r="I187" s="32"/>
      <c r="J187" s="32"/>
      <c r="K187" s="32"/>
      <c r="L187" s="294"/>
    </row>
    <row r="188" spans="1:12" ht="12.75">
      <c r="A188" s="294"/>
      <c r="B188" s="294"/>
      <c r="C188" s="294"/>
      <c r="D188" s="294"/>
      <c r="E188" s="294"/>
      <c r="F188" s="294"/>
      <c r="H188" s="294"/>
      <c r="I188" s="294"/>
      <c r="J188" s="294"/>
      <c r="K188" s="294"/>
      <c r="L188" s="294"/>
    </row>
    <row r="189" spans="1:12" ht="12.75">
      <c r="A189" s="294"/>
      <c r="B189" s="294"/>
      <c r="C189" s="294"/>
      <c r="D189" s="294"/>
      <c r="E189" s="294"/>
      <c r="F189" s="294"/>
      <c r="H189" s="294"/>
      <c r="I189" s="294"/>
      <c r="J189" s="294"/>
      <c r="K189" s="294"/>
      <c r="L189" s="294"/>
    </row>
    <row r="190" spans="1:12" ht="12.75">
      <c r="A190" s="294"/>
      <c r="B190" s="294"/>
      <c r="C190" s="294"/>
      <c r="D190" s="294"/>
      <c r="E190" s="294"/>
      <c r="F190" s="294"/>
      <c r="G190" s="294"/>
      <c r="H190" s="294"/>
      <c r="I190" s="294"/>
      <c r="J190" s="294"/>
      <c r="K190" s="294"/>
      <c r="L190" s="294"/>
    </row>
    <row r="191" spans="1:12" ht="12.75">
      <c r="A191" s="294"/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  <c r="L191" s="294"/>
    </row>
    <row r="192" spans="1:12" ht="12.75">
      <c r="A192" s="294"/>
      <c r="B192" s="294"/>
      <c r="C192" s="294"/>
      <c r="D192" s="294"/>
      <c r="E192" s="294"/>
      <c r="F192" s="294"/>
      <c r="J192" s="294"/>
      <c r="K192" s="294"/>
      <c r="L192" s="294"/>
    </row>
    <row r="193" spans="1:12" ht="12.75">
      <c r="A193" s="294"/>
      <c r="B193" s="294"/>
      <c r="C193" s="294"/>
      <c r="D193" s="294"/>
      <c r="E193" s="294"/>
      <c r="F193" s="294"/>
      <c r="H193" s="294"/>
      <c r="I193" s="294"/>
      <c r="J193" s="294"/>
      <c r="K193" s="294"/>
      <c r="L193" s="294"/>
    </row>
    <row r="194" spans="1:12" ht="12.75">
      <c r="A194" s="294"/>
      <c r="B194" s="294"/>
      <c r="C194" s="294"/>
      <c r="D194" s="294"/>
      <c r="E194" s="294"/>
      <c r="F194" s="294"/>
      <c r="K194" s="294"/>
      <c r="L194" s="294"/>
    </row>
    <row r="195" spans="1:12" ht="12.75">
      <c r="A195" s="294"/>
      <c r="B195" s="294"/>
      <c r="C195" s="294"/>
      <c r="D195" s="294"/>
      <c r="E195" s="294"/>
      <c r="F195" s="294"/>
      <c r="G195" s="294"/>
      <c r="H195" s="294"/>
      <c r="I195" s="294"/>
      <c r="J195" s="294"/>
      <c r="K195" s="294"/>
      <c r="L195" s="294"/>
    </row>
    <row r="196" spans="1:12" ht="12.75">
      <c r="A196" s="294"/>
      <c r="B196" s="294"/>
      <c r="C196" s="294"/>
      <c r="D196" s="294"/>
      <c r="E196" s="294"/>
      <c r="F196" s="294"/>
      <c r="G196" s="37" t="s">
        <v>446</v>
      </c>
      <c r="H196" s="294"/>
      <c r="I196" s="294"/>
      <c r="J196" s="294"/>
      <c r="K196" s="294"/>
      <c r="L196" s="294"/>
    </row>
    <row r="197" spans="1:12" ht="12.75">
      <c r="A197" s="294"/>
      <c r="B197" s="294"/>
      <c r="C197" s="294"/>
      <c r="D197" s="294"/>
      <c r="E197" s="294"/>
      <c r="F197" s="294"/>
      <c r="H197" s="295"/>
      <c r="I197" s="295"/>
      <c r="J197" s="294"/>
      <c r="K197" s="295"/>
      <c r="L197" s="295"/>
    </row>
    <row r="198" spans="1:12" ht="12.75">
      <c r="A198" s="294"/>
      <c r="B198" s="294"/>
      <c r="C198" s="294"/>
      <c r="D198" s="294"/>
      <c r="E198" s="294"/>
      <c r="F198" s="294"/>
      <c r="H198" s="295"/>
      <c r="I198" s="295"/>
      <c r="J198" s="295"/>
      <c r="K198" s="295"/>
      <c r="L198" s="295"/>
    </row>
    <row r="199" spans="1:12" ht="12.75">
      <c r="A199" s="37" t="s">
        <v>446</v>
      </c>
      <c r="B199" s="32"/>
      <c r="C199" s="32"/>
      <c r="D199" s="294"/>
      <c r="E199" s="294"/>
      <c r="F199" s="294"/>
      <c r="G199" s="295"/>
      <c r="H199" s="295"/>
      <c r="I199" s="295"/>
      <c r="J199" s="295"/>
      <c r="K199" s="295"/>
      <c r="L199" s="295"/>
    </row>
    <row r="200" spans="1:12" ht="12.75">
      <c r="A200" s="294"/>
      <c r="B200" s="294"/>
      <c r="C200" s="294"/>
      <c r="D200" s="294"/>
      <c r="E200" s="294"/>
      <c r="F200" s="294"/>
      <c r="H200" s="295"/>
      <c r="I200" s="295"/>
      <c r="J200" s="295"/>
      <c r="K200" s="295"/>
      <c r="L200" s="295"/>
    </row>
    <row r="201" spans="1:12" ht="12.75">
      <c r="A201" s="294"/>
      <c r="B201" s="294"/>
      <c r="C201" s="294"/>
      <c r="D201" s="294"/>
      <c r="E201" s="294"/>
      <c r="F201" s="294"/>
      <c r="H201" s="295"/>
      <c r="I201" s="295"/>
      <c r="J201" s="295"/>
      <c r="K201" s="295"/>
      <c r="L201" s="295"/>
    </row>
    <row r="202" spans="1:12" ht="12.75">
      <c r="A202" s="294"/>
      <c r="B202" s="294"/>
      <c r="C202" s="294"/>
      <c r="D202" s="294"/>
      <c r="E202" s="294"/>
      <c r="F202" s="294"/>
      <c r="H202" s="295"/>
      <c r="I202" s="295"/>
      <c r="J202" s="295"/>
      <c r="K202" s="295"/>
      <c r="L202" s="295"/>
    </row>
    <row r="203" spans="1:12" ht="12.75">
      <c r="A203" s="294"/>
      <c r="B203" s="294"/>
      <c r="C203" s="294"/>
      <c r="D203" s="294"/>
      <c r="E203" s="294"/>
      <c r="F203" s="294"/>
      <c r="H203" s="295"/>
      <c r="I203" s="295"/>
      <c r="J203" s="295"/>
      <c r="K203" s="295"/>
      <c r="L203" s="295"/>
    </row>
    <row r="204" spans="1:12" ht="12.75">
      <c r="A204" s="294"/>
      <c r="B204" s="294"/>
      <c r="C204" s="294"/>
      <c r="D204" s="294"/>
      <c r="E204" s="294"/>
      <c r="F204" s="294"/>
      <c r="H204" s="295"/>
      <c r="I204" s="295"/>
      <c r="J204" s="295"/>
      <c r="K204" s="295"/>
      <c r="L204" s="295"/>
    </row>
    <row r="205" spans="1:12" ht="12.75">
      <c r="A205" s="294"/>
      <c r="B205" s="294"/>
      <c r="C205" s="294"/>
      <c r="D205" s="294"/>
      <c r="E205" s="294"/>
      <c r="F205" s="294"/>
      <c r="H205" s="295"/>
      <c r="I205" s="295"/>
      <c r="J205" s="295"/>
      <c r="K205" s="295"/>
      <c r="L205" s="295"/>
    </row>
    <row r="206" spans="1:12" ht="12.75">
      <c r="A206" s="294"/>
      <c r="B206" s="294"/>
      <c r="C206" s="294"/>
      <c r="D206" s="294"/>
      <c r="E206" s="294"/>
      <c r="F206" s="294"/>
      <c r="G206" s="294" t="s">
        <v>142</v>
      </c>
      <c r="H206" s="295"/>
      <c r="I206" s="295"/>
      <c r="J206" s="295"/>
      <c r="K206" s="295"/>
      <c r="L206" s="295"/>
    </row>
    <row r="207" spans="1:12" ht="12.75">
      <c r="A207" s="294"/>
      <c r="B207" s="294"/>
      <c r="C207" s="294"/>
      <c r="D207" s="294"/>
      <c r="E207" s="294"/>
      <c r="F207" s="294"/>
      <c r="G207" s="294" t="s">
        <v>101</v>
      </c>
      <c r="H207" s="295"/>
      <c r="I207" s="295"/>
      <c r="J207" s="295"/>
      <c r="K207" s="295"/>
      <c r="L207" s="295"/>
    </row>
  </sheetData>
  <mergeCells count="5">
    <mergeCell ref="G2:L2"/>
    <mergeCell ref="A4:F4"/>
    <mergeCell ref="G4:L4"/>
    <mergeCell ref="A5:F5"/>
    <mergeCell ref="G5:L5"/>
  </mergeCells>
  <printOptions/>
  <pageMargins left="0.17" right="0.17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317"/>
  <sheetViews>
    <sheetView workbookViewId="0" topLeftCell="H1">
      <selection activeCell="I68" sqref="I68"/>
    </sheetView>
  </sheetViews>
  <sheetFormatPr defaultColWidth="9.140625" defaultRowHeight="12.75"/>
  <cols>
    <col min="1" max="1" width="41.28125" style="46" hidden="1" customWidth="1"/>
    <col min="2" max="2" width="13.00390625" style="46" hidden="1" customWidth="1"/>
    <col min="3" max="4" width="12.7109375" style="46" hidden="1" customWidth="1"/>
    <col min="5" max="5" width="9.8515625" style="46" hidden="1" customWidth="1"/>
    <col min="6" max="6" width="11.8515625" style="46" hidden="1" customWidth="1"/>
    <col min="7" max="7" width="12.7109375" style="46" hidden="1" customWidth="1"/>
    <col min="8" max="8" width="34.421875" style="46" customWidth="1"/>
    <col min="9" max="9" width="10.8515625" style="46" customWidth="1"/>
    <col min="10" max="10" width="13.00390625" style="46" customWidth="1"/>
    <col min="11" max="11" width="11.140625" style="46" customWidth="1"/>
    <col min="12" max="12" width="10.8515625" style="46" customWidth="1"/>
    <col min="13" max="13" width="11.8515625" style="46" customWidth="1"/>
    <col min="14" max="14" width="10.421875" style="46" customWidth="1"/>
    <col min="15" max="16384" width="9.140625" style="46" customWidth="1"/>
  </cols>
  <sheetData>
    <row r="1" spans="1:14" ht="21" customHeight="1">
      <c r="A1" s="326" t="s">
        <v>447</v>
      </c>
      <c r="B1" s="326"/>
      <c r="C1" s="326"/>
      <c r="D1" s="326"/>
      <c r="E1" s="326"/>
      <c r="F1" s="326"/>
      <c r="G1" s="46" t="s">
        <v>448</v>
      </c>
      <c r="H1" s="326" t="s">
        <v>449</v>
      </c>
      <c r="I1" s="326"/>
      <c r="J1" s="326"/>
      <c r="K1" s="326"/>
      <c r="L1" s="326"/>
      <c r="M1" s="326"/>
      <c r="N1" s="327" t="s">
        <v>448</v>
      </c>
    </row>
    <row r="2" ht="0.75" customHeight="1" hidden="1"/>
    <row r="3" ht="20.25" customHeight="1"/>
    <row r="4" spans="1:14" ht="18.75" customHeight="1">
      <c r="A4" s="328" t="s">
        <v>450</v>
      </c>
      <c r="B4" s="328"/>
      <c r="C4" s="328"/>
      <c r="D4" s="328"/>
      <c r="E4" s="328"/>
      <c r="F4" s="328"/>
      <c r="G4" s="328"/>
      <c r="H4" s="296"/>
      <c r="I4" s="296"/>
      <c r="J4" s="296" t="s">
        <v>451</v>
      </c>
      <c r="K4" s="296"/>
      <c r="L4" s="296"/>
      <c r="M4" s="105"/>
      <c r="N4" s="328"/>
    </row>
    <row r="5" spans="1:14" ht="20.25" customHeight="1">
      <c r="A5" s="328" t="s">
        <v>311</v>
      </c>
      <c r="B5" s="328"/>
      <c r="C5" s="328"/>
      <c r="D5" s="328"/>
      <c r="E5" s="328"/>
      <c r="F5" s="328"/>
      <c r="G5" s="328"/>
      <c r="H5" s="296"/>
      <c r="I5" s="296"/>
      <c r="J5" s="296" t="s">
        <v>311</v>
      </c>
      <c r="K5" s="296"/>
      <c r="L5" s="296"/>
      <c r="M5" s="105"/>
      <c r="N5" s="328"/>
    </row>
    <row r="6" spans="1:14" ht="18" customHeight="1">
      <c r="A6" s="296" t="s">
        <v>107</v>
      </c>
      <c r="B6" s="328"/>
      <c r="C6" s="328"/>
      <c r="D6" s="328"/>
      <c r="E6" s="328"/>
      <c r="F6" s="328"/>
      <c r="G6" s="328"/>
      <c r="H6" s="296"/>
      <c r="I6" s="296"/>
      <c r="J6" s="296" t="s">
        <v>107</v>
      </c>
      <c r="K6" s="296"/>
      <c r="L6" s="296"/>
      <c r="M6" s="105"/>
      <c r="N6" s="328"/>
    </row>
    <row r="7" ht="36" customHeight="1">
      <c r="N7" s="327" t="s">
        <v>149</v>
      </c>
    </row>
    <row r="8" spans="1:14" s="2" customFormat="1" ht="95.25" customHeight="1">
      <c r="A8" s="329" t="s">
        <v>59</v>
      </c>
      <c r="B8" s="329" t="s">
        <v>110</v>
      </c>
      <c r="C8" s="329" t="s">
        <v>312</v>
      </c>
      <c r="D8" s="329" t="s">
        <v>112</v>
      </c>
      <c r="E8" s="329" t="s">
        <v>313</v>
      </c>
      <c r="F8" s="329" t="s">
        <v>452</v>
      </c>
      <c r="G8" s="329" t="s">
        <v>377</v>
      </c>
      <c r="H8" s="329" t="s">
        <v>59</v>
      </c>
      <c r="I8" s="329" t="s">
        <v>110</v>
      </c>
      <c r="J8" s="329" t="s">
        <v>312</v>
      </c>
      <c r="K8" s="329" t="s">
        <v>112</v>
      </c>
      <c r="L8" s="329" t="s">
        <v>313</v>
      </c>
      <c r="M8" s="329" t="s">
        <v>453</v>
      </c>
      <c r="N8" s="329" t="s">
        <v>377</v>
      </c>
    </row>
    <row r="9" spans="1:14" ht="14.25">
      <c r="A9" s="330">
        <v>1</v>
      </c>
      <c r="B9" s="330">
        <v>2</v>
      </c>
      <c r="C9" s="330">
        <v>3</v>
      </c>
      <c r="D9" s="330">
        <v>4</v>
      </c>
      <c r="E9" s="330">
        <v>5</v>
      </c>
      <c r="F9" s="330">
        <v>6</v>
      </c>
      <c r="G9" s="331">
        <v>7</v>
      </c>
      <c r="H9" s="330">
        <v>1</v>
      </c>
      <c r="I9" s="330">
        <v>2</v>
      </c>
      <c r="J9" s="330">
        <v>3</v>
      </c>
      <c r="K9" s="330">
        <v>4</v>
      </c>
      <c r="L9" s="330">
        <v>5</v>
      </c>
      <c r="M9" s="330">
        <v>6</v>
      </c>
      <c r="N9" s="330">
        <v>7</v>
      </c>
    </row>
    <row r="10" spans="1:14" ht="18.75" customHeight="1">
      <c r="A10" s="332" t="s">
        <v>454</v>
      </c>
      <c r="B10" s="333">
        <f>SUM(B11:B12:B13)</f>
        <v>699762222</v>
      </c>
      <c r="C10" s="333">
        <f>SUM(C11:C13)</f>
        <v>162481777</v>
      </c>
      <c r="D10" s="333">
        <f>SUM(D11:D13)</f>
        <v>159901119</v>
      </c>
      <c r="E10" s="334">
        <f>IF(ISERROR(D10/B10)," ",(D10/B10))</f>
        <v>0.22850779017904743</v>
      </c>
      <c r="F10" s="334">
        <f>IF(ISERROR(D10/C10)," ",(D10/C10))</f>
        <v>0.9841172465759037</v>
      </c>
      <c r="G10" s="335">
        <f>SUM(G11:G13)</f>
        <v>55513945</v>
      </c>
      <c r="H10" s="332" t="s">
        <v>454</v>
      </c>
      <c r="I10" s="336">
        <f>SUM(I11:I12:I13)</f>
        <v>699762</v>
      </c>
      <c r="J10" s="336">
        <f>SUM(J11:J13)</f>
        <v>162482</v>
      </c>
      <c r="K10" s="336">
        <f>SUM(K11:K13)</f>
        <v>159901</v>
      </c>
      <c r="L10" s="334">
        <f>IF(ISERROR(ROUND(K10,0)/ROUND(I10,0))," ",(ROUND(K10,)/ROUND(I10,)))</f>
        <v>0.22850769261548926</v>
      </c>
      <c r="M10" s="334">
        <f>IF(ISERROR(ROUND(K10,0)/ROUND(J10,0))," ",(ROUND(K10,)/ROUND(J10,)))</f>
        <v>0.984115163525806</v>
      </c>
      <c r="N10" s="336">
        <f>SUM(N11:N13)</f>
        <v>55514</v>
      </c>
    </row>
    <row r="11" spans="1:14" ht="26.25" customHeight="1">
      <c r="A11" s="337" t="s">
        <v>455</v>
      </c>
      <c r="B11" s="338">
        <v>692166497</v>
      </c>
      <c r="C11" s="339">
        <f>50041493+36421481+35990428+38712123</f>
        <v>161165525</v>
      </c>
      <c r="D11" s="338">
        <v>159252899</v>
      </c>
      <c r="E11" s="340">
        <f aca="true" t="shared" si="0" ref="E11:E17">IF(ISERROR(D11/B11)," ",(D11/B11))</f>
        <v>0.23007888953053443</v>
      </c>
      <c r="F11" s="340">
        <f aca="true" t="shared" si="1" ref="F11:F17">IF(ISERROR(D11/C11)," ",(D11/C11))</f>
        <v>0.988132536409384</v>
      </c>
      <c r="G11" s="341">
        <f>D11-'[8]Februāris'!D11</f>
        <v>55216685</v>
      </c>
      <c r="H11" s="337" t="s">
        <v>455</v>
      </c>
      <c r="I11" s="342">
        <f>ROUND(B11/1000,0)</f>
        <v>692166</v>
      </c>
      <c r="J11" s="342">
        <f>ROUND(C11/1000,0)</f>
        <v>161166</v>
      </c>
      <c r="K11" s="342">
        <f>ROUND(D11/1000,0)</f>
        <v>159253</v>
      </c>
      <c r="L11" s="340">
        <f aca="true" t="shared" si="2" ref="L11:L17">IF(ISERROR(ROUND(K11,0)/ROUND(I11,0))," ",(ROUND(K11,)/ROUND(I11,)))</f>
        <v>0.23007920065417833</v>
      </c>
      <c r="M11" s="340">
        <f aca="true" t="shared" si="3" ref="M11:M17">IF(ISERROR(ROUND(K11,0)/ROUND(J11,0))," ",(ROUND(K11,)/ROUND(J11,)))</f>
        <v>0.9881302507973145</v>
      </c>
      <c r="N11" s="343">
        <f>K11-'[8]Februāris'!K11</f>
        <v>55217</v>
      </c>
    </row>
    <row r="12" spans="1:14" ht="27.75" customHeight="1">
      <c r="A12" s="337" t="s">
        <v>456</v>
      </c>
      <c r="B12" s="338">
        <v>4224473</v>
      </c>
      <c r="C12" s="339">
        <f>944786</f>
        <v>944786</v>
      </c>
      <c r="D12" s="338">
        <f>487429+6030</f>
        <v>493459</v>
      </c>
      <c r="E12" s="340">
        <f t="shared" si="0"/>
        <v>0.1168095996826113</v>
      </c>
      <c r="F12" s="340">
        <f t="shared" si="1"/>
        <v>0.5222971127853292</v>
      </c>
      <c r="G12" s="341">
        <f>D12-'[8]Februāris'!D12</f>
        <v>297259</v>
      </c>
      <c r="H12" s="337" t="s">
        <v>456</v>
      </c>
      <c r="I12" s="342">
        <f>ROUND(B12/1000,0)+1</f>
        <v>4225</v>
      </c>
      <c r="J12" s="342">
        <f>ROUND(C12/1000,0)</f>
        <v>945</v>
      </c>
      <c r="K12" s="342">
        <f>ROUND(D12/1000,0)</f>
        <v>493</v>
      </c>
      <c r="L12" s="340">
        <f t="shared" si="2"/>
        <v>0.11668639053254438</v>
      </c>
      <c r="M12" s="340">
        <f t="shared" si="3"/>
        <v>0.5216931216931217</v>
      </c>
      <c r="N12" s="343">
        <f>K12-'[8]Februāris'!K12</f>
        <v>297</v>
      </c>
    </row>
    <row r="13" spans="1:14" ht="15.75" customHeight="1">
      <c r="A13" s="337" t="s">
        <v>117</v>
      </c>
      <c r="B13" s="338">
        <v>3371252</v>
      </c>
      <c r="C13" s="339">
        <f>371466</f>
        <v>371466</v>
      </c>
      <c r="D13" s="338">
        <v>154761</v>
      </c>
      <c r="E13" s="340">
        <f t="shared" si="0"/>
        <v>0.045906090674918396</v>
      </c>
      <c r="F13" s="340">
        <f t="shared" si="1"/>
        <v>0.41662224806577186</v>
      </c>
      <c r="G13" s="341">
        <f>D13-'[8]Februāris'!D13</f>
        <v>1</v>
      </c>
      <c r="H13" s="337" t="s">
        <v>117</v>
      </c>
      <c r="I13" s="342">
        <f>ROUND(B13/1000,0)</f>
        <v>3371</v>
      </c>
      <c r="J13" s="342">
        <f>ROUND(C13/1000,0)</f>
        <v>371</v>
      </c>
      <c r="K13" s="342">
        <f>ROUND(D13/1000,0)</f>
        <v>155</v>
      </c>
      <c r="L13" s="340">
        <f t="shared" si="2"/>
        <v>0.045980421239988134</v>
      </c>
      <c r="M13" s="340">
        <f t="shared" si="3"/>
        <v>0.41778975741239893</v>
      </c>
      <c r="N13" s="343">
        <f>K13-'[8]Februāris'!K13</f>
        <v>0</v>
      </c>
    </row>
    <row r="14" spans="1:14" ht="21.75" customHeight="1">
      <c r="A14" s="332" t="s">
        <v>322</v>
      </c>
      <c r="B14" s="344">
        <f>SUM(B15,B36)</f>
        <v>743446778</v>
      </c>
      <c r="C14" s="344">
        <f>SUM(C15,C36)</f>
        <v>197089999</v>
      </c>
      <c r="D14" s="344">
        <f>SUM(D15,D36)</f>
        <v>177694993</v>
      </c>
      <c r="E14" s="334">
        <f t="shared" si="0"/>
        <v>0.23901508252955264</v>
      </c>
      <c r="F14" s="334">
        <f t="shared" si="1"/>
        <v>0.9015931498381102</v>
      </c>
      <c r="G14" s="345">
        <f>SUM(G15,G36)</f>
        <v>60752275</v>
      </c>
      <c r="H14" s="332" t="s">
        <v>322</v>
      </c>
      <c r="I14" s="346">
        <f>SUM(I15,I36)</f>
        <v>743447</v>
      </c>
      <c r="J14" s="346">
        <f>SUM(J15,J36)</f>
        <v>197090</v>
      </c>
      <c r="K14" s="346">
        <f>SUM(K15,K36)</f>
        <v>177693</v>
      </c>
      <c r="L14" s="334">
        <f t="shared" si="2"/>
        <v>0.23901233040149467</v>
      </c>
      <c r="M14" s="334">
        <f t="shared" si="3"/>
        <v>0.9015830331320717</v>
      </c>
      <c r="N14" s="346">
        <f>SUM(N15,N36)</f>
        <v>60751</v>
      </c>
    </row>
    <row r="15" spans="1:14" ht="20.25" customHeight="1">
      <c r="A15" s="347" t="s">
        <v>457</v>
      </c>
      <c r="B15" s="348">
        <f>SUM(B16,B21,B24)</f>
        <v>706050840</v>
      </c>
      <c r="C15" s="348">
        <f>SUM(C16,C21,C24)</f>
        <v>186869918</v>
      </c>
      <c r="D15" s="348">
        <f>SUM(D16,D21,D24)</f>
        <v>171416149</v>
      </c>
      <c r="E15" s="334">
        <f t="shared" si="0"/>
        <v>0.24278159487778528</v>
      </c>
      <c r="F15" s="334">
        <f t="shared" si="1"/>
        <v>0.9173019972107014</v>
      </c>
      <c r="G15" s="349">
        <f>SUM(G16,G21,G24)</f>
        <v>59104441</v>
      </c>
      <c r="H15" s="347" t="s">
        <v>457</v>
      </c>
      <c r="I15" s="350">
        <f>SUM(I16,I21,I24)+1</f>
        <v>706051</v>
      </c>
      <c r="J15" s="350">
        <f>SUM(J16,J21,J24)</f>
        <v>186870</v>
      </c>
      <c r="K15" s="350">
        <f>SUM(K16,K21,K24)</f>
        <v>171415</v>
      </c>
      <c r="L15" s="334">
        <f t="shared" si="2"/>
        <v>0.24277991249923872</v>
      </c>
      <c r="M15" s="334">
        <f t="shared" si="3"/>
        <v>0.9172954460320009</v>
      </c>
      <c r="N15" s="350">
        <f>SUM(N16,N21,N24)</f>
        <v>59104</v>
      </c>
    </row>
    <row r="16" spans="1:14" ht="18.75" customHeight="1">
      <c r="A16" s="347" t="s">
        <v>324</v>
      </c>
      <c r="B16" s="348">
        <v>29000156</v>
      </c>
      <c r="C16" s="348">
        <f>9369506</f>
        <v>9369506</v>
      </c>
      <c r="D16" s="348">
        <f>SUM(D17,D18,D19,D20)</f>
        <v>7455323</v>
      </c>
      <c r="E16" s="334">
        <f t="shared" si="0"/>
        <v>0.257078720542055</v>
      </c>
      <c r="F16" s="334">
        <f t="shared" si="1"/>
        <v>0.7957007551945642</v>
      </c>
      <c r="G16" s="349">
        <f>SUM(G17,G18,G19,G20)</f>
        <v>2283333</v>
      </c>
      <c r="H16" s="347" t="s">
        <v>324</v>
      </c>
      <c r="I16" s="336">
        <f>ROUND(B16/1000,0)</f>
        <v>29000</v>
      </c>
      <c r="J16" s="336">
        <f>ROUND(C16/1000,0)</f>
        <v>9370</v>
      </c>
      <c r="K16" s="346">
        <f>SUM(K17,K18,K19,K20)</f>
        <v>7455</v>
      </c>
      <c r="L16" s="334">
        <f t="shared" si="2"/>
        <v>0.2570689655172414</v>
      </c>
      <c r="M16" s="334">
        <f t="shared" si="3"/>
        <v>0.7956243329775881</v>
      </c>
      <c r="N16" s="350">
        <f>SUM(N17,N18,N19,N20)</f>
        <v>2283</v>
      </c>
    </row>
    <row r="17" spans="1:14" ht="14.25">
      <c r="A17" s="351" t="s">
        <v>325</v>
      </c>
      <c r="B17" s="352">
        <v>1540940</v>
      </c>
      <c r="C17" s="352">
        <v>439320</v>
      </c>
      <c r="D17" s="352">
        <v>268457</v>
      </c>
      <c r="E17" s="340">
        <f t="shared" si="0"/>
        <v>0.17421638739989875</v>
      </c>
      <c r="F17" s="340">
        <f t="shared" si="1"/>
        <v>0.6110739324410452</v>
      </c>
      <c r="G17" s="353">
        <f>D17-'[8]Februāris'!D17</f>
        <v>96465</v>
      </c>
      <c r="H17" s="351" t="s">
        <v>325</v>
      </c>
      <c r="I17" s="343">
        <f>ROUND(B17/1000,0)</f>
        <v>1541</v>
      </c>
      <c r="J17" s="343">
        <f>ROUND(C17/1000,0)</f>
        <v>439</v>
      </c>
      <c r="K17" s="342">
        <f>ROUND(D17/1000,0)</f>
        <v>268</v>
      </c>
      <c r="L17" s="340">
        <f t="shared" si="2"/>
        <v>0.17391304347826086</v>
      </c>
      <c r="M17" s="340">
        <f t="shared" si="3"/>
        <v>0.6104783599088838</v>
      </c>
      <c r="N17" s="343">
        <f>K17-'[8]Februāris'!K17</f>
        <v>96</v>
      </c>
    </row>
    <row r="18" spans="1:14" ht="28.5">
      <c r="A18" s="337" t="s">
        <v>326</v>
      </c>
      <c r="B18" s="354" t="s">
        <v>66</v>
      </c>
      <c r="C18" s="354" t="s">
        <v>66</v>
      </c>
      <c r="D18" s="352">
        <v>85696</v>
      </c>
      <c r="E18" s="355" t="s">
        <v>66</v>
      </c>
      <c r="F18" s="354" t="s">
        <v>66</v>
      </c>
      <c r="G18" s="353">
        <f>D18-'[8]Februāris'!D18</f>
        <v>28981</v>
      </c>
      <c r="H18" s="337" t="s">
        <v>326</v>
      </c>
      <c r="I18" s="356" t="s">
        <v>66</v>
      </c>
      <c r="J18" s="356" t="s">
        <v>66</v>
      </c>
      <c r="K18" s="342">
        <f>ROUND(D18/1000,0)</f>
        <v>86</v>
      </c>
      <c r="L18" s="355" t="s">
        <v>66</v>
      </c>
      <c r="M18" s="354" t="s">
        <v>66</v>
      </c>
      <c r="N18" s="343">
        <f>K18-'[8]Februāris'!K18</f>
        <v>29</v>
      </c>
    </row>
    <row r="19" spans="1:14" ht="14.25">
      <c r="A19" s="337" t="s">
        <v>327</v>
      </c>
      <c r="B19" s="354" t="s">
        <v>66</v>
      </c>
      <c r="C19" s="354" t="s">
        <v>66</v>
      </c>
      <c r="D19" s="352">
        <v>6176472</v>
      </c>
      <c r="E19" s="355" t="s">
        <v>66</v>
      </c>
      <c r="F19" s="354" t="s">
        <v>66</v>
      </c>
      <c r="G19" s="353">
        <f>D19-'[8]Februāris'!D19</f>
        <v>2039282</v>
      </c>
      <c r="H19" s="337" t="s">
        <v>327</v>
      </c>
      <c r="I19" s="356" t="s">
        <v>66</v>
      </c>
      <c r="J19" s="356" t="s">
        <v>66</v>
      </c>
      <c r="K19" s="342">
        <f>ROUND(D19/1000,0)</f>
        <v>6176</v>
      </c>
      <c r="L19" s="355" t="s">
        <v>66</v>
      </c>
      <c r="M19" s="354" t="s">
        <v>66</v>
      </c>
      <c r="N19" s="343">
        <f>K19-'[8]Februāris'!K19</f>
        <v>2039</v>
      </c>
    </row>
    <row r="20" spans="1:14" ht="14.25">
      <c r="A20" s="337" t="s">
        <v>458</v>
      </c>
      <c r="B20" s="354" t="s">
        <v>66</v>
      </c>
      <c r="C20" s="354" t="s">
        <v>66</v>
      </c>
      <c r="D20" s="352">
        <v>924698</v>
      </c>
      <c r="E20" s="355" t="s">
        <v>66</v>
      </c>
      <c r="F20" s="354" t="s">
        <v>66</v>
      </c>
      <c r="G20" s="353">
        <f>D20-'[8]Februāris'!D20</f>
        <v>118605</v>
      </c>
      <c r="H20" s="337" t="s">
        <v>458</v>
      </c>
      <c r="I20" s="356" t="s">
        <v>66</v>
      </c>
      <c r="J20" s="356" t="s">
        <v>66</v>
      </c>
      <c r="K20" s="342">
        <f>ROUND(D20/1000,0)</f>
        <v>925</v>
      </c>
      <c r="L20" s="355" t="s">
        <v>66</v>
      </c>
      <c r="M20" s="354" t="s">
        <v>66</v>
      </c>
      <c r="N20" s="343">
        <f>K20-'[8]Februāris'!K20</f>
        <v>119</v>
      </c>
    </row>
    <row r="21" spans="1:14" ht="30.75" customHeight="1">
      <c r="A21" s="357" t="s">
        <v>328</v>
      </c>
      <c r="B21" s="352">
        <v>8446493</v>
      </c>
      <c r="C21" s="352">
        <f>802852+134664+296329+352329</f>
        <v>1586174</v>
      </c>
      <c r="D21" s="352">
        <f>SUM(D22:D23)</f>
        <v>749314</v>
      </c>
      <c r="E21" s="340">
        <f>IF(ISERROR(D21/B21)," ",(D21/B21))</f>
        <v>0.08871303155049083</v>
      </c>
      <c r="F21" s="340">
        <f>IF(ISERROR(D21/C21)," ",(D21/C21))</f>
        <v>0.47240340593150565</v>
      </c>
      <c r="G21" s="353">
        <f>SUM(G22:G23)</f>
        <v>295136</v>
      </c>
      <c r="H21" s="357" t="s">
        <v>328</v>
      </c>
      <c r="I21" s="336">
        <f>ROUND(B21/1000,0)</f>
        <v>8446</v>
      </c>
      <c r="J21" s="336">
        <f>ROUND(C21/1000,0)</f>
        <v>1586</v>
      </c>
      <c r="K21" s="346">
        <f>SUM(K22:K23)</f>
        <v>749</v>
      </c>
      <c r="L21" s="334">
        <f>IF(ISERROR(ROUND(K21,0)/ROUND(I21,0))," ",(ROUND(K21,)/ROUND(I21,)))</f>
        <v>0.08868103244139237</v>
      </c>
      <c r="M21" s="334">
        <f>IF(ISERROR(ROUND(K21,0)/ROUND(J21,0))," ",(ROUND(K21,)/ROUND(J21,)))</f>
        <v>0.47225725094577553</v>
      </c>
      <c r="N21" s="346">
        <f>SUM(N22:N23)</f>
        <v>295</v>
      </c>
    </row>
    <row r="22" spans="1:14" ht="27.75" customHeight="1">
      <c r="A22" s="337" t="s">
        <v>459</v>
      </c>
      <c r="B22" s="354" t="s">
        <v>66</v>
      </c>
      <c r="C22" s="354" t="s">
        <v>66</v>
      </c>
      <c r="D22" s="352">
        <v>177021</v>
      </c>
      <c r="E22" s="355" t="s">
        <v>66</v>
      </c>
      <c r="F22" s="354" t="s">
        <v>66</v>
      </c>
      <c r="G22" s="353">
        <f>D22-'[8]Februāris'!D22</f>
        <v>-264767</v>
      </c>
      <c r="H22" s="337" t="s">
        <v>459</v>
      </c>
      <c r="I22" s="356" t="s">
        <v>66</v>
      </c>
      <c r="J22" s="356" t="s">
        <v>66</v>
      </c>
      <c r="K22" s="342">
        <f>ROUND(D22/1000,0)</f>
        <v>177</v>
      </c>
      <c r="L22" s="355" t="s">
        <v>66</v>
      </c>
      <c r="M22" s="354" t="s">
        <v>66</v>
      </c>
      <c r="N22" s="343">
        <f>K22-'[8]Februāris'!K22</f>
        <v>-265</v>
      </c>
    </row>
    <row r="23" spans="1:14" ht="27" customHeight="1">
      <c r="A23" s="337" t="s">
        <v>460</v>
      </c>
      <c r="B23" s="354" t="s">
        <v>66</v>
      </c>
      <c r="C23" s="354" t="s">
        <v>66</v>
      </c>
      <c r="D23" s="352">
        <v>572293</v>
      </c>
      <c r="E23" s="355" t="s">
        <v>66</v>
      </c>
      <c r="F23" s="354" t="s">
        <v>66</v>
      </c>
      <c r="G23" s="353">
        <f>D23-'[8]Februāris'!D23</f>
        <v>559903</v>
      </c>
      <c r="H23" s="337" t="s">
        <v>460</v>
      </c>
      <c r="I23" s="356" t="s">
        <v>66</v>
      </c>
      <c r="J23" s="356" t="s">
        <v>66</v>
      </c>
      <c r="K23" s="342">
        <f>ROUND(D23/1000,0)</f>
        <v>572</v>
      </c>
      <c r="L23" s="355" t="s">
        <v>66</v>
      </c>
      <c r="M23" s="354" t="s">
        <v>66</v>
      </c>
      <c r="N23" s="343">
        <f>K23-'[8]Februāris'!K23</f>
        <v>560</v>
      </c>
    </row>
    <row r="24" spans="1:14" ht="16.5" customHeight="1">
      <c r="A24" s="358" t="s">
        <v>333</v>
      </c>
      <c r="B24" s="352">
        <v>668604191</v>
      </c>
      <c r="C24" s="352">
        <f>38897033+44621944+44700473+47694788</f>
        <v>175914238</v>
      </c>
      <c r="D24" s="352">
        <f>SUM(D25,D26,D28,D27,D29,D34,D35)</f>
        <v>163211512</v>
      </c>
      <c r="E24" s="340">
        <f>IF(ISERROR(D24/B24)," ",(D24/B24))</f>
        <v>0.2441078207360504</v>
      </c>
      <c r="F24" s="340">
        <f>IF(ISERROR(D24/C24)," ",(D24/C24))</f>
        <v>0.9277902337842603</v>
      </c>
      <c r="G24" s="353">
        <f>SUM(G25,G26,G28,G27,G29,G34,G35)</f>
        <v>56525972</v>
      </c>
      <c r="H24" s="358" t="s">
        <v>333</v>
      </c>
      <c r="I24" s="336">
        <f>ROUND(B24/1000,0)</f>
        <v>668604</v>
      </c>
      <c r="J24" s="336">
        <f>ROUND(C24/1000,0)</f>
        <v>175914</v>
      </c>
      <c r="K24" s="346">
        <f>SUM(K25,K26,K27,K28,K29,K34,K35)</f>
        <v>163211</v>
      </c>
      <c r="L24" s="334">
        <f>IF(ISERROR(ROUND(K24,0)/ROUND(I24,0))," ",(ROUND(K24,)/ROUND(I24,)))</f>
        <v>0.24410712469563448</v>
      </c>
      <c r="M24" s="334">
        <f>IF(ISERROR(ROUND(K24,0)/ROUND(J24,0))," ",(ROUND(K24,)/ROUND(J24,)))</f>
        <v>0.9277885785099538</v>
      </c>
      <c r="N24" s="346">
        <f>SUM(N25,N26,N27,N28,N29,N34,N35)</f>
        <v>56526</v>
      </c>
    </row>
    <row r="25" spans="1:14" ht="15.75" customHeight="1">
      <c r="A25" s="351" t="s">
        <v>334</v>
      </c>
      <c r="B25" s="354" t="s">
        <v>66</v>
      </c>
      <c r="C25" s="354" t="s">
        <v>66</v>
      </c>
      <c r="D25" s="352">
        <v>630233</v>
      </c>
      <c r="E25" s="355" t="s">
        <v>66</v>
      </c>
      <c r="F25" s="354" t="s">
        <v>66</v>
      </c>
      <c r="G25" s="353">
        <f>D25-'[8]Februāris'!D25</f>
        <v>226877</v>
      </c>
      <c r="H25" s="351" t="s">
        <v>334</v>
      </c>
      <c r="I25" s="356" t="s">
        <v>66</v>
      </c>
      <c r="J25" s="356" t="s">
        <v>66</v>
      </c>
      <c r="K25" s="342">
        <f>ROUND(D25/1000,0)</f>
        <v>630</v>
      </c>
      <c r="L25" s="355" t="s">
        <v>66</v>
      </c>
      <c r="M25" s="354" t="s">
        <v>66</v>
      </c>
      <c r="N25" s="343">
        <f>K25-'[8]Februāris'!K25</f>
        <v>227</v>
      </c>
    </row>
    <row r="26" spans="1:14" ht="14.25">
      <c r="A26" s="351" t="s">
        <v>335</v>
      </c>
      <c r="B26" s="354" t="s">
        <v>66</v>
      </c>
      <c r="C26" s="354" t="s">
        <v>66</v>
      </c>
      <c r="D26" s="352">
        <v>4067036</v>
      </c>
      <c r="E26" s="355" t="s">
        <v>66</v>
      </c>
      <c r="F26" s="354" t="s">
        <v>66</v>
      </c>
      <c r="G26" s="353">
        <f>D26-'[8]Februāris'!D26</f>
        <v>1427494</v>
      </c>
      <c r="H26" s="351" t="s">
        <v>335</v>
      </c>
      <c r="I26" s="356" t="s">
        <v>66</v>
      </c>
      <c r="J26" s="356" t="s">
        <v>66</v>
      </c>
      <c r="K26" s="342">
        <f>ROUND(D26/1000,0)</f>
        <v>4067</v>
      </c>
      <c r="L26" s="355" t="s">
        <v>66</v>
      </c>
      <c r="M26" s="354" t="s">
        <v>66</v>
      </c>
      <c r="N26" s="343">
        <f>K26-'[8]Februāris'!K26</f>
        <v>1427</v>
      </c>
    </row>
    <row r="27" spans="1:14" ht="14.25">
      <c r="A27" s="351" t="s">
        <v>336</v>
      </c>
      <c r="B27" s="354" t="s">
        <v>66</v>
      </c>
      <c r="C27" s="354" t="s">
        <v>66</v>
      </c>
      <c r="D27" s="352"/>
      <c r="E27" s="354" t="s">
        <v>66</v>
      </c>
      <c r="F27" s="354" t="s">
        <v>66</v>
      </c>
      <c r="G27" s="353">
        <f>D27-'[8]Februāris'!D27</f>
        <v>0</v>
      </c>
      <c r="H27" s="351" t="s">
        <v>336</v>
      </c>
      <c r="I27" s="354" t="s">
        <v>66</v>
      </c>
      <c r="J27" s="354" t="s">
        <v>66</v>
      </c>
      <c r="K27" s="342">
        <f>ROUND(D27/1000,0)</f>
        <v>0</v>
      </c>
      <c r="L27" s="354" t="s">
        <v>66</v>
      </c>
      <c r="M27" s="354" t="s">
        <v>66</v>
      </c>
      <c r="N27" s="343">
        <f>K27-'[8]Februāris'!K27</f>
        <v>0</v>
      </c>
    </row>
    <row r="28" spans="1:14" ht="28.5">
      <c r="A28" s="337" t="s">
        <v>337</v>
      </c>
      <c r="B28" s="354" t="s">
        <v>66</v>
      </c>
      <c r="C28" s="354" t="s">
        <v>66</v>
      </c>
      <c r="D28" s="352">
        <f>34639661-200200</f>
        <v>34439461</v>
      </c>
      <c r="E28" s="355" t="s">
        <v>66</v>
      </c>
      <c r="F28" s="354" t="s">
        <v>66</v>
      </c>
      <c r="G28" s="353">
        <f>D28-'[8]Februāris'!D28</f>
        <v>12108255</v>
      </c>
      <c r="H28" s="337" t="s">
        <v>337</v>
      </c>
      <c r="I28" s="356" t="s">
        <v>66</v>
      </c>
      <c r="J28" s="356" t="s">
        <v>66</v>
      </c>
      <c r="K28" s="342">
        <f>ROUND(D28/1000,0)+1</f>
        <v>34440</v>
      </c>
      <c r="L28" s="355" t="s">
        <v>66</v>
      </c>
      <c r="M28" s="354" t="s">
        <v>66</v>
      </c>
      <c r="N28" s="343">
        <f>K28-'[8]Februāris'!K28</f>
        <v>12109</v>
      </c>
    </row>
    <row r="29" spans="1:14" ht="15" customHeight="1">
      <c r="A29" s="337" t="s">
        <v>461</v>
      </c>
      <c r="B29" s="354" t="s">
        <v>66</v>
      </c>
      <c r="C29" s="354" t="s">
        <v>66</v>
      </c>
      <c r="D29" s="352">
        <f>SUM(D30:D33)</f>
        <v>123863357</v>
      </c>
      <c r="E29" s="355" t="s">
        <v>66</v>
      </c>
      <c r="F29" s="354" t="s">
        <v>66</v>
      </c>
      <c r="G29" s="353">
        <f>SUM(G30:G33)</f>
        <v>42756133</v>
      </c>
      <c r="H29" s="337" t="s">
        <v>342</v>
      </c>
      <c r="I29" s="356" t="s">
        <v>66</v>
      </c>
      <c r="J29" s="356" t="s">
        <v>66</v>
      </c>
      <c r="K29" s="359">
        <f>SUM(K30:K33)</f>
        <v>123863</v>
      </c>
      <c r="L29" s="355" t="s">
        <v>66</v>
      </c>
      <c r="M29" s="354" t="s">
        <v>66</v>
      </c>
      <c r="N29" s="360">
        <f>SUM(N30:N33)</f>
        <v>42756</v>
      </c>
    </row>
    <row r="30" spans="1:14" s="366" customFormat="1" ht="15" customHeight="1">
      <c r="A30" s="361" t="s">
        <v>462</v>
      </c>
      <c r="B30" s="362" t="s">
        <v>66</v>
      </c>
      <c r="C30" s="362" t="s">
        <v>66</v>
      </c>
      <c r="D30" s="363">
        <v>112559269</v>
      </c>
      <c r="E30" s="364" t="s">
        <v>66</v>
      </c>
      <c r="F30" s="362" t="s">
        <v>66</v>
      </c>
      <c r="G30" s="353">
        <f>D30-'[8]Februāris'!D30</f>
        <v>39101682</v>
      </c>
      <c r="H30" s="361" t="s">
        <v>462</v>
      </c>
      <c r="I30" s="365" t="s">
        <v>66</v>
      </c>
      <c r="J30" s="365" t="s">
        <v>66</v>
      </c>
      <c r="K30" s="342">
        <f>ROUND(D30/1000,0)+1</f>
        <v>112560</v>
      </c>
      <c r="L30" s="364" t="s">
        <v>66</v>
      </c>
      <c r="M30" s="362" t="s">
        <v>66</v>
      </c>
      <c r="N30" s="343">
        <f>K30-'[8]Februāris'!K30</f>
        <v>39102</v>
      </c>
    </row>
    <row r="31" spans="1:14" s="366" customFormat="1" ht="15" customHeight="1">
      <c r="A31" s="361" t="s">
        <v>463</v>
      </c>
      <c r="B31" s="362" t="s">
        <v>66</v>
      </c>
      <c r="C31" s="362" t="s">
        <v>66</v>
      </c>
      <c r="D31" s="363">
        <v>11084486</v>
      </c>
      <c r="E31" s="364" t="s">
        <v>66</v>
      </c>
      <c r="F31" s="362" t="s">
        <v>66</v>
      </c>
      <c r="G31" s="353">
        <f>D31-'[8]Februāris'!D31</f>
        <v>3569350</v>
      </c>
      <c r="H31" s="361" t="s">
        <v>463</v>
      </c>
      <c r="I31" s="365" t="s">
        <v>66</v>
      </c>
      <c r="J31" s="365" t="s">
        <v>66</v>
      </c>
      <c r="K31" s="342">
        <f>ROUND(D31/1000,0)</f>
        <v>11084</v>
      </c>
      <c r="L31" s="364" t="s">
        <v>66</v>
      </c>
      <c r="M31" s="362" t="s">
        <v>66</v>
      </c>
      <c r="N31" s="343">
        <f>K31-'[8]Februāris'!K31</f>
        <v>3569</v>
      </c>
    </row>
    <row r="32" spans="1:14" s="366" customFormat="1" ht="15" customHeight="1">
      <c r="A32" s="361" t="s">
        <v>464</v>
      </c>
      <c r="B32" s="362" t="s">
        <v>66</v>
      </c>
      <c r="C32" s="362" t="s">
        <v>66</v>
      </c>
      <c r="D32" s="363">
        <v>120347</v>
      </c>
      <c r="E32" s="364" t="s">
        <v>66</v>
      </c>
      <c r="F32" s="362" t="s">
        <v>66</v>
      </c>
      <c r="G32" s="353">
        <f>D32-'[8]Februāris'!D32</f>
        <v>52286</v>
      </c>
      <c r="H32" s="361" t="s">
        <v>464</v>
      </c>
      <c r="I32" s="365" t="s">
        <v>66</v>
      </c>
      <c r="J32" s="365" t="s">
        <v>66</v>
      </c>
      <c r="K32" s="342">
        <f>ROUND(D32/1000,0)</f>
        <v>120</v>
      </c>
      <c r="L32" s="364" t="s">
        <v>66</v>
      </c>
      <c r="M32" s="362" t="s">
        <v>66</v>
      </c>
      <c r="N32" s="343">
        <f>K32-'[8]Februāris'!K32</f>
        <v>52</v>
      </c>
    </row>
    <row r="33" spans="1:14" s="366" customFormat="1" ht="15" customHeight="1">
      <c r="A33" s="361" t="s">
        <v>465</v>
      </c>
      <c r="B33" s="362" t="s">
        <v>66</v>
      </c>
      <c r="C33" s="362" t="s">
        <v>66</v>
      </c>
      <c r="D33" s="363">
        <v>99255</v>
      </c>
      <c r="E33" s="364" t="s">
        <v>66</v>
      </c>
      <c r="F33" s="362" t="s">
        <v>66</v>
      </c>
      <c r="G33" s="353">
        <f>D33-'[8]Februāris'!D33</f>
        <v>32815</v>
      </c>
      <c r="H33" s="361" t="s">
        <v>465</v>
      </c>
      <c r="I33" s="365" t="s">
        <v>66</v>
      </c>
      <c r="J33" s="365" t="s">
        <v>66</v>
      </c>
      <c r="K33" s="367">
        <f>ROUND(D33/1000,0)</f>
        <v>99</v>
      </c>
      <c r="L33" s="364" t="s">
        <v>66</v>
      </c>
      <c r="M33" s="362" t="s">
        <v>66</v>
      </c>
      <c r="N33" s="343">
        <f>K33-'[8]Februāris'!K33</f>
        <v>33</v>
      </c>
    </row>
    <row r="34" spans="1:14" ht="29.25">
      <c r="A34" s="337" t="s">
        <v>466</v>
      </c>
      <c r="B34" s="362">
        <v>66000</v>
      </c>
      <c r="C34" s="362">
        <v>18000</v>
      </c>
      <c r="D34" s="352">
        <v>11225</v>
      </c>
      <c r="E34" s="340">
        <f>IF(ISERROR(D34/B34)," ",(D34/B34))</f>
        <v>0.17007575757575757</v>
      </c>
      <c r="F34" s="340">
        <f>IF(ISERROR(D34/C34)," ",(D34/C34))</f>
        <v>0.6236111111111111</v>
      </c>
      <c r="G34" s="353">
        <f>D34-'[8]Februāris'!D34</f>
        <v>7213</v>
      </c>
      <c r="H34" s="337" t="s">
        <v>466</v>
      </c>
      <c r="I34" s="368">
        <f>ROUND(B34/1000,0)</f>
        <v>66</v>
      </c>
      <c r="J34" s="368">
        <f>ROUND(C34/1000,0)</f>
        <v>18</v>
      </c>
      <c r="K34" s="342">
        <f>ROUND(D34/1000,0)</f>
        <v>11</v>
      </c>
      <c r="L34" s="334">
        <f>IF(ISERROR(ROUND(K34,0)/ROUND(I34,0))," ",(ROUND(K34,)/ROUND(I34,)))</f>
        <v>0.16666666666666666</v>
      </c>
      <c r="M34" s="334">
        <f>IF(ISERROR(ROUND(K34,0)/ROUND(J34,0))," ",(ROUND(K34,)/ROUND(J34,)))</f>
        <v>0.6111111111111112</v>
      </c>
      <c r="N34" s="343">
        <f>K34-'[8]Februāris'!K34</f>
        <v>7</v>
      </c>
    </row>
    <row r="35" spans="1:14" ht="43.5">
      <c r="A35" s="337" t="s">
        <v>467</v>
      </c>
      <c r="B35" s="362">
        <v>1201200</v>
      </c>
      <c r="C35" s="362" t="s">
        <v>66</v>
      </c>
      <c r="D35" s="352">
        <v>200200</v>
      </c>
      <c r="E35" s="340">
        <f>IF(ISERROR(D35/B35)," ",(D35/B35))</f>
        <v>0.16666666666666666</v>
      </c>
      <c r="F35" s="362" t="s">
        <v>66</v>
      </c>
      <c r="G35" s="353">
        <f>D35-'[8]Februāris'!D35</f>
        <v>0</v>
      </c>
      <c r="H35" s="337" t="s">
        <v>467</v>
      </c>
      <c r="I35" s="368">
        <f>ROUND(B35/1000,0)</f>
        <v>1201</v>
      </c>
      <c r="J35" s="365" t="s">
        <v>66</v>
      </c>
      <c r="K35" s="342">
        <f>ROUND(D35/1000,0)</f>
        <v>200</v>
      </c>
      <c r="L35" s="334">
        <f>IF(ISERROR(ROUND(K35,0)/ROUND(I35,0))," ",(ROUND(K35,)/ROUND(I35,)))</f>
        <v>0.16652789342214822</v>
      </c>
      <c r="M35" s="362" t="s">
        <v>66</v>
      </c>
      <c r="N35" s="343">
        <f>K35-'[8]Februāris'!K35</f>
        <v>0</v>
      </c>
    </row>
    <row r="36" spans="1:14" ht="32.25" customHeight="1">
      <c r="A36" s="369" t="s">
        <v>352</v>
      </c>
      <c r="B36" s="370">
        <f>SUM(B37:B38)</f>
        <v>37395938</v>
      </c>
      <c r="C36" s="370">
        <f>SUM(C37:C38)</f>
        <v>10220081</v>
      </c>
      <c r="D36" s="370">
        <f>SUM(D37:D38)</f>
        <v>6278844</v>
      </c>
      <c r="E36" s="334">
        <f>IF(ISERROR(D36/B36)," ",(D36/B36))</f>
        <v>0.16790176515962776</v>
      </c>
      <c r="F36" s="334">
        <f>IF(ISERROR(D36/C36)," ",(D36/C36))</f>
        <v>0.61436342823506</v>
      </c>
      <c r="G36" s="371">
        <f>SUM(G37:G38)</f>
        <v>1647834</v>
      </c>
      <c r="H36" s="369" t="s">
        <v>352</v>
      </c>
      <c r="I36" s="372">
        <f>SUM(I37:I38)</f>
        <v>37396</v>
      </c>
      <c r="J36" s="372">
        <f>SUM(J37:J38)</f>
        <v>10220</v>
      </c>
      <c r="K36" s="372">
        <f>SUM(K37:K38)</f>
        <v>6278</v>
      </c>
      <c r="L36" s="334">
        <f>IF(ISERROR(ROUND(K36,0)/ROUND(I36,0))," ",(ROUND(K36,)/ROUND(I36,)))</f>
        <v>0.16787891753128678</v>
      </c>
      <c r="M36" s="334">
        <f>IF(ISERROR(ROUND(K36,0)/ROUND(J36,0))," ",(ROUND(K36,)/ROUND(J36,)))</f>
        <v>0.6142857142857143</v>
      </c>
      <c r="N36" s="372">
        <f>SUM(N37:N38)</f>
        <v>1647</v>
      </c>
    </row>
    <row r="37" spans="1:14" ht="18" customHeight="1">
      <c r="A37" s="337" t="s">
        <v>354</v>
      </c>
      <c r="B37" s="373">
        <v>10550686</v>
      </c>
      <c r="C37" s="373">
        <f>3546802</f>
        <v>3546802</v>
      </c>
      <c r="D37" s="352">
        <v>2797084</v>
      </c>
      <c r="E37" s="340">
        <f>IF(ISERROR(D37/B37)," ",(D37/B37))</f>
        <v>0.265109207116959</v>
      </c>
      <c r="F37" s="340">
        <f>IF(ISERROR(D37/C37)," ",(D37/C37))</f>
        <v>0.7886214116265864</v>
      </c>
      <c r="G37" s="353">
        <f>D37-'[8]Februāris'!D37</f>
        <v>470150</v>
      </c>
      <c r="H37" s="337" t="s">
        <v>354</v>
      </c>
      <c r="I37" s="343">
        <f>ROUND(B37/1000,0)</f>
        <v>10551</v>
      </c>
      <c r="J37" s="343">
        <f>ROUND(C37/1000,0)</f>
        <v>3547</v>
      </c>
      <c r="K37" s="342">
        <f>ROUND(D37/1000,0)</f>
        <v>2797</v>
      </c>
      <c r="L37" s="340">
        <f>IF(ISERROR(ROUND(K37,0)/ROUND(I37,0))," ",(ROUND(K37,)/ROUND(I37,)))</f>
        <v>0.2650933560799924</v>
      </c>
      <c r="M37" s="340">
        <f>IF(ISERROR(ROUND(K37,0)/ROUND(J37,0))," ",(ROUND(K37,)/ROUND(J37,)))</f>
        <v>0.788553707358331</v>
      </c>
      <c r="N37" s="343">
        <f>K37-'[8]Februāris'!K37</f>
        <v>470</v>
      </c>
    </row>
    <row r="38" spans="1:14" ht="14.25">
      <c r="A38" s="337" t="s">
        <v>356</v>
      </c>
      <c r="B38" s="374">
        <v>26845252</v>
      </c>
      <c r="C38" s="373">
        <f>5666466+162741+426941+417131</f>
        <v>6673279</v>
      </c>
      <c r="D38" s="363">
        <f>3491478-9718</f>
        <v>3481760</v>
      </c>
      <c r="E38" s="340">
        <f>IF(ISERROR(D38/B38)," ",(D38/B38))</f>
        <v>0.1296974228440843</v>
      </c>
      <c r="F38" s="340">
        <f>IF(ISERROR(D38/C38)," ",(D38/C38))</f>
        <v>0.5217465057282934</v>
      </c>
      <c r="G38" s="353">
        <f>D38-'[8]Februāris'!D38</f>
        <v>1177684</v>
      </c>
      <c r="H38" s="337" t="s">
        <v>356</v>
      </c>
      <c r="I38" s="343">
        <f>ROUND(B38/1000,0)</f>
        <v>26845</v>
      </c>
      <c r="J38" s="343">
        <f>ROUND(C38/1000,0)</f>
        <v>6673</v>
      </c>
      <c r="K38" s="342">
        <f>ROUND(D38/1000,0)-1</f>
        <v>3481</v>
      </c>
      <c r="L38" s="340">
        <f>IF(ISERROR(ROUND(K38,0)/ROUND(I38,0))," ",(ROUND(K38,)/ROUND(I38,)))</f>
        <v>0.12967032967032968</v>
      </c>
      <c r="M38" s="340">
        <f>IF(ISERROR(ROUND(K38,0)/ROUND(J38,0))," ",(ROUND(K38,)/ROUND(J38,)))</f>
        <v>0.5216544282931216</v>
      </c>
      <c r="N38" s="343">
        <f>K38-'[8]Februāris'!K38</f>
        <v>1177</v>
      </c>
    </row>
    <row r="39" spans="1:14" ht="30.75" customHeight="1">
      <c r="A39" s="357" t="s">
        <v>468</v>
      </c>
      <c r="B39" s="348">
        <f>SUM(B40-B41)</f>
        <v>6739620</v>
      </c>
      <c r="C39" s="354" t="s">
        <v>66</v>
      </c>
      <c r="D39" s="348">
        <f>SUM(D40-D41)</f>
        <v>1091355</v>
      </c>
      <c r="E39" s="355" t="s">
        <v>66</v>
      </c>
      <c r="F39" s="354" t="s">
        <v>66</v>
      </c>
      <c r="G39" s="349">
        <f>SUM(G40-G41)</f>
        <v>428252</v>
      </c>
      <c r="H39" s="357" t="s">
        <v>468</v>
      </c>
      <c r="I39" s="336">
        <f aca="true" t="shared" si="4" ref="I39:I45">ROUND(B39/1000,0)</f>
        <v>6740</v>
      </c>
      <c r="J39" s="356" t="s">
        <v>66</v>
      </c>
      <c r="K39" s="350">
        <f>SUM(K40-K41)</f>
        <v>1092</v>
      </c>
      <c r="L39" s="340">
        <f aca="true" t="shared" si="5" ref="L39:L45">IF(ISERROR(ROUND(K39,0)/ROUND(I39,0))," ",(ROUND(K39,)/ROUND(I39,)))</f>
        <v>0.16201780415430267</v>
      </c>
      <c r="M39" s="355" t="s">
        <v>66</v>
      </c>
      <c r="N39" s="350">
        <f>SUM(N40-N41)</f>
        <v>429</v>
      </c>
    </row>
    <row r="40" spans="1:14" ht="19.5" customHeight="1">
      <c r="A40" s="351" t="s">
        <v>360</v>
      </c>
      <c r="B40" s="373">
        <v>6756000</v>
      </c>
      <c r="C40" s="354">
        <f>1859300</f>
        <v>1859300</v>
      </c>
      <c r="D40" s="352">
        <v>1102567</v>
      </c>
      <c r="E40" s="340">
        <f aca="true" t="shared" si="6" ref="E40:E45">IF(ISERROR(D40/B40)," ",(D40/B40))</f>
        <v>0.16319819419775014</v>
      </c>
      <c r="F40" s="340">
        <f>IF(ISERROR(D40/C40)," ",(D40/C40))</f>
        <v>0.5930011294573226</v>
      </c>
      <c r="G40" s="353">
        <f>D40-'[8]Februāris'!D40</f>
        <v>430616</v>
      </c>
      <c r="H40" s="351" t="s">
        <v>360</v>
      </c>
      <c r="I40" s="342">
        <f t="shared" si="4"/>
        <v>6756</v>
      </c>
      <c r="J40" s="342">
        <f>ROUND(C40/1000,0)</f>
        <v>1859</v>
      </c>
      <c r="K40" s="342">
        <f>ROUND(D40/1000,0)</f>
        <v>1103</v>
      </c>
      <c r="L40" s="340">
        <f t="shared" si="5"/>
        <v>0.1632622853759621</v>
      </c>
      <c r="M40" s="340">
        <f>IF(ISERROR(ROUND(K40,0)/ROUND(J40,0))," ",(ROUND(K40,)/ROUND(J40,)))</f>
        <v>0.593329747175901</v>
      </c>
      <c r="N40" s="343">
        <f>K40-'[8]Februāris'!K40</f>
        <v>431</v>
      </c>
    </row>
    <row r="41" spans="1:14" ht="27.75" customHeight="1">
      <c r="A41" s="375" t="s">
        <v>362</v>
      </c>
      <c r="B41" s="373">
        <v>16380</v>
      </c>
      <c r="C41" s="354">
        <f>2946</f>
        <v>2946</v>
      </c>
      <c r="D41" s="352">
        <v>11212</v>
      </c>
      <c r="E41" s="340">
        <f t="shared" si="6"/>
        <v>0.6844932844932845</v>
      </c>
      <c r="F41" s="340">
        <f>IF(ISERROR(D41/C41)," ",(D41/C41))</f>
        <v>3.805838424983028</v>
      </c>
      <c r="G41" s="353">
        <f>D41-'[8]Februāris'!D41</f>
        <v>2364</v>
      </c>
      <c r="H41" s="375" t="s">
        <v>362</v>
      </c>
      <c r="I41" s="342">
        <f t="shared" si="4"/>
        <v>16</v>
      </c>
      <c r="J41" s="342">
        <f>ROUND(C41/1000,0)</f>
        <v>3</v>
      </c>
      <c r="K41" s="342">
        <f>ROUND(D41/1000,0)</f>
        <v>11</v>
      </c>
      <c r="L41" s="340">
        <f t="shared" si="5"/>
        <v>0.6875</v>
      </c>
      <c r="M41" s="340">
        <f>IF(ISERROR(ROUND(K41,0)/ROUND(J41,0))," ",(ROUND(K41,)/ROUND(J41,)))</f>
        <v>3.6666666666666665</v>
      </c>
      <c r="N41" s="343">
        <f>K41-'[8]Februāris'!K41</f>
        <v>2</v>
      </c>
    </row>
    <row r="42" spans="1:163" s="376" customFormat="1" ht="21.75" customHeight="1">
      <c r="A42" s="357" t="s">
        <v>469</v>
      </c>
      <c r="B42" s="370">
        <f>SUM(B10-B14-B39)</f>
        <v>-50424176</v>
      </c>
      <c r="C42" s="354" t="s">
        <v>66</v>
      </c>
      <c r="D42" s="370">
        <f>SUM(D10-D14-D39)</f>
        <v>-18885229</v>
      </c>
      <c r="E42" s="334">
        <f t="shared" si="6"/>
        <v>0.37452727041092354</v>
      </c>
      <c r="F42" s="354" t="s">
        <v>66</v>
      </c>
      <c r="G42" s="371">
        <f>SUM(G10-G14-G39)</f>
        <v>-5666582</v>
      </c>
      <c r="H42" s="357" t="s">
        <v>469</v>
      </c>
      <c r="I42" s="336">
        <f t="shared" si="4"/>
        <v>-50424</v>
      </c>
      <c r="J42" s="356" t="s">
        <v>66</v>
      </c>
      <c r="K42" s="372">
        <f>SUM(K10-K14-K39)-1</f>
        <v>-18885</v>
      </c>
      <c r="L42" s="334">
        <f t="shared" si="5"/>
        <v>0.3745240361732508</v>
      </c>
      <c r="M42" s="354" t="s">
        <v>66</v>
      </c>
      <c r="N42" s="372">
        <f>SUM(N10-N14-N39)</f>
        <v>-5666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</row>
    <row r="43" spans="1:163" s="376" customFormat="1" ht="18" customHeight="1">
      <c r="A43" s="357" t="s">
        <v>365</v>
      </c>
      <c r="B43" s="348">
        <f>SUM(B44:B45)</f>
        <v>50424176</v>
      </c>
      <c r="C43" s="354" t="s">
        <v>66</v>
      </c>
      <c r="D43" s="348">
        <f>SUM(D44:D45)</f>
        <v>18885229</v>
      </c>
      <c r="E43" s="340">
        <f t="shared" si="6"/>
        <v>0.37452727041092354</v>
      </c>
      <c r="F43" s="354" t="s">
        <v>66</v>
      </c>
      <c r="G43" s="349">
        <f>SUM(G44:G45)</f>
        <v>5666582</v>
      </c>
      <c r="H43" s="357" t="s">
        <v>365</v>
      </c>
      <c r="I43" s="336">
        <f t="shared" si="4"/>
        <v>50424</v>
      </c>
      <c r="J43" s="356" t="s">
        <v>66</v>
      </c>
      <c r="K43" s="336">
        <f>K44+K45</f>
        <v>18885</v>
      </c>
      <c r="L43" s="334">
        <f t="shared" si="5"/>
        <v>0.3745240361732508</v>
      </c>
      <c r="M43" s="354" t="s">
        <v>66</v>
      </c>
      <c r="N43" s="348">
        <f>SUM(N44:N45)</f>
        <v>5667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</row>
    <row r="44" spans="1:163" s="376" customFormat="1" ht="17.25" customHeight="1">
      <c r="A44" s="337" t="s">
        <v>387</v>
      </c>
      <c r="B44" s="373">
        <v>52217619</v>
      </c>
      <c r="C44" s="354" t="s">
        <v>66</v>
      </c>
      <c r="D44" s="352">
        <v>22885678</v>
      </c>
      <c r="E44" s="340">
        <f t="shared" si="6"/>
        <v>0.4382750197782859</v>
      </c>
      <c r="F44" s="354" t="s">
        <v>66</v>
      </c>
      <c r="G44" s="353">
        <f>D44-'[8]Februāris'!D44</f>
        <v>5338678</v>
      </c>
      <c r="H44" s="337" t="s">
        <v>387</v>
      </c>
      <c r="I44" s="342">
        <f t="shared" si="4"/>
        <v>52218</v>
      </c>
      <c r="J44" s="356" t="s">
        <v>66</v>
      </c>
      <c r="K44" s="342">
        <f>ROUND(D44/1000,0)-1</f>
        <v>22885</v>
      </c>
      <c r="L44" s="340">
        <f t="shared" si="5"/>
        <v>0.4382588379486001</v>
      </c>
      <c r="M44" s="354" t="s">
        <v>66</v>
      </c>
      <c r="N44" s="343">
        <f>K44-'[8]Februāris'!K44</f>
        <v>5338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</row>
    <row r="45" spans="1:163" s="376" customFormat="1" ht="45.75" customHeight="1">
      <c r="A45" s="337" t="s">
        <v>470</v>
      </c>
      <c r="B45" s="373">
        <v>-1793443</v>
      </c>
      <c r="C45" s="354" t="s">
        <v>66</v>
      </c>
      <c r="D45" s="352">
        <f>-(D42+D44)</f>
        <v>-4000449</v>
      </c>
      <c r="E45" s="340">
        <f t="shared" si="6"/>
        <v>2.230597236711733</v>
      </c>
      <c r="F45" s="354" t="s">
        <v>66</v>
      </c>
      <c r="G45" s="353">
        <f>D45-'[8]Februāris'!D45</f>
        <v>327904</v>
      </c>
      <c r="H45" s="337" t="s">
        <v>470</v>
      </c>
      <c r="I45" s="342">
        <f t="shared" si="4"/>
        <v>-1793</v>
      </c>
      <c r="J45" s="356" t="s">
        <v>66</v>
      </c>
      <c r="K45" s="342">
        <f>ROUND(D45/1000,0)</f>
        <v>-4000</v>
      </c>
      <c r="L45" s="340">
        <f t="shared" si="5"/>
        <v>2.230897936419409</v>
      </c>
      <c r="M45" s="354" t="s">
        <v>66</v>
      </c>
      <c r="N45" s="343">
        <f>K45-'[8]Februāris'!K45</f>
        <v>329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</row>
    <row r="46" spans="1:13" s="382" customFormat="1" ht="14.25">
      <c r="A46" s="377"/>
      <c r="B46" s="378"/>
      <c r="C46" s="378"/>
      <c r="D46" s="379"/>
      <c r="E46" s="380"/>
      <c r="F46" s="381"/>
      <c r="H46" s="377"/>
      <c r="I46" s="378"/>
      <c r="J46" s="378"/>
      <c r="K46" s="379"/>
      <c r="L46" s="380"/>
      <c r="M46" s="381"/>
    </row>
    <row r="47" spans="1:13" s="382" customFormat="1" ht="14.25">
      <c r="A47" s="377"/>
      <c r="B47" s="378"/>
      <c r="C47" s="378"/>
      <c r="D47" s="379"/>
      <c r="E47" s="380"/>
      <c r="F47" s="381"/>
      <c r="H47" s="377"/>
      <c r="I47" s="378"/>
      <c r="J47" s="378"/>
      <c r="K47" s="379"/>
      <c r="L47" s="380"/>
      <c r="M47" s="381"/>
    </row>
    <row r="48" spans="1:13" s="382" customFormat="1" ht="14.25">
      <c r="A48" s="377"/>
      <c r="B48" s="378"/>
      <c r="C48" s="378"/>
      <c r="D48" s="379"/>
      <c r="E48" s="380"/>
      <c r="F48" s="381"/>
      <c r="H48" s="377"/>
      <c r="I48" s="378"/>
      <c r="J48" s="378"/>
      <c r="K48" s="379"/>
      <c r="L48" s="380"/>
      <c r="M48" s="381"/>
    </row>
    <row r="49" spans="1:13" s="382" customFormat="1" ht="14.25">
      <c r="A49" s="377"/>
      <c r="B49" s="378"/>
      <c r="C49" s="378"/>
      <c r="D49" s="379"/>
      <c r="E49" s="380"/>
      <c r="F49" s="381"/>
      <c r="I49" s="378"/>
      <c r="J49" s="378"/>
      <c r="K49" s="379"/>
      <c r="L49" s="380"/>
      <c r="M49" s="381"/>
    </row>
    <row r="50" spans="1:13" s="382" customFormat="1" ht="14.25">
      <c r="A50" s="377"/>
      <c r="B50" s="378"/>
      <c r="C50" s="378"/>
      <c r="D50" s="379"/>
      <c r="E50" s="380"/>
      <c r="F50" s="381"/>
      <c r="I50" s="378"/>
      <c r="J50" s="378"/>
      <c r="K50" s="379"/>
      <c r="L50" s="380"/>
      <c r="M50" s="381"/>
    </row>
    <row r="51" spans="1:13" s="382" customFormat="1" ht="14.25">
      <c r="A51" s="377"/>
      <c r="B51" s="378"/>
      <c r="C51" s="378"/>
      <c r="D51" s="379"/>
      <c r="E51" s="380"/>
      <c r="F51" s="381"/>
      <c r="I51" s="378"/>
      <c r="J51" s="378"/>
      <c r="K51" s="379"/>
      <c r="L51" s="380"/>
      <c r="M51" s="381"/>
    </row>
    <row r="52" spans="1:13" ht="14.25">
      <c r="A52" s="377"/>
      <c r="B52" s="383"/>
      <c r="C52" s="383"/>
      <c r="D52" s="384"/>
      <c r="E52" s="380"/>
      <c r="F52" s="385"/>
      <c r="I52" s="383"/>
      <c r="J52" s="383"/>
      <c r="K52" s="384"/>
      <c r="L52" s="380"/>
      <c r="M52" s="385"/>
    </row>
    <row r="53" spans="2:13" ht="15">
      <c r="B53" s="383"/>
      <c r="C53" s="383"/>
      <c r="D53" s="384"/>
      <c r="E53" s="386"/>
      <c r="F53" s="385"/>
      <c r="I53" s="383"/>
      <c r="J53" s="383"/>
      <c r="K53" s="384"/>
      <c r="L53" s="386"/>
      <c r="M53" s="385"/>
    </row>
    <row r="54" spans="1:13" ht="14.25">
      <c r="A54" s="387" t="s">
        <v>369</v>
      </c>
      <c r="B54" s="388"/>
      <c r="C54" s="388"/>
      <c r="D54" s="388"/>
      <c r="E54" s="389"/>
      <c r="F54" s="390"/>
      <c r="L54" s="389"/>
      <c r="M54" s="390"/>
    </row>
    <row r="55" spans="2:13" ht="14.25">
      <c r="B55" s="383"/>
      <c r="C55" s="391"/>
      <c r="D55" s="384"/>
      <c r="E55" s="392"/>
      <c r="F55" s="385"/>
      <c r="I55" s="383"/>
      <c r="J55" s="391"/>
      <c r="K55" s="384"/>
      <c r="L55" s="392"/>
      <c r="M55" s="385"/>
    </row>
    <row r="56" spans="2:13" ht="14.25">
      <c r="B56" s="383"/>
      <c r="C56" s="391"/>
      <c r="D56" s="384"/>
      <c r="E56" s="392"/>
      <c r="F56" s="393"/>
      <c r="I56" s="392"/>
      <c r="J56" s="392"/>
      <c r="L56" s="392"/>
      <c r="M56" s="393"/>
    </row>
    <row r="57" spans="2:13" ht="14.25">
      <c r="B57" s="383"/>
      <c r="C57" s="391"/>
      <c r="D57" s="384"/>
      <c r="E57" s="392"/>
      <c r="F57" s="393"/>
      <c r="H57" s="387" t="s">
        <v>369</v>
      </c>
      <c r="I57" s="392"/>
      <c r="J57" s="392"/>
      <c r="L57" s="392"/>
      <c r="M57" s="393"/>
    </row>
    <row r="58" spans="2:13" ht="14.25">
      <c r="B58" s="383"/>
      <c r="C58" s="391"/>
      <c r="D58" s="384"/>
      <c r="E58" s="392"/>
      <c r="F58" s="393"/>
      <c r="I58" s="383"/>
      <c r="J58" s="391"/>
      <c r="K58" s="384"/>
      <c r="L58" s="392"/>
      <c r="M58" s="393"/>
    </row>
    <row r="59" spans="2:13" ht="14.25">
      <c r="B59" s="383"/>
      <c r="C59" s="391"/>
      <c r="D59" s="384"/>
      <c r="E59" s="392"/>
      <c r="F59" s="393"/>
      <c r="I59" s="383"/>
      <c r="J59" s="391"/>
      <c r="K59" s="384"/>
      <c r="L59" s="392"/>
      <c r="M59" s="393"/>
    </row>
    <row r="60" spans="2:13" ht="14.25">
      <c r="B60" s="383"/>
      <c r="C60" s="391"/>
      <c r="D60" s="384"/>
      <c r="E60" s="392"/>
      <c r="F60" s="393"/>
      <c r="I60" s="383"/>
      <c r="J60" s="391"/>
      <c r="K60" s="384"/>
      <c r="L60" s="392"/>
      <c r="M60" s="393"/>
    </row>
    <row r="61" spans="2:13" ht="14.25">
      <c r="B61" s="392"/>
      <c r="C61" s="392"/>
      <c r="E61" s="392"/>
      <c r="F61" s="392"/>
      <c r="I61" s="392"/>
      <c r="J61" s="392"/>
      <c r="L61" s="392"/>
      <c r="M61" s="392"/>
    </row>
    <row r="62" spans="2:13" ht="14.25">
      <c r="B62" s="392"/>
      <c r="C62" s="392"/>
      <c r="E62" s="392"/>
      <c r="F62" s="392"/>
      <c r="I62" s="392"/>
      <c r="J62" s="392"/>
      <c r="L62" s="392"/>
      <c r="M62" s="392"/>
    </row>
    <row r="63" spans="2:13" ht="14.25">
      <c r="B63" s="392"/>
      <c r="C63" s="392"/>
      <c r="E63" s="392"/>
      <c r="F63" s="392"/>
      <c r="L63" s="392"/>
      <c r="M63" s="392"/>
    </row>
    <row r="64" spans="5:13" ht="14.25">
      <c r="E64" s="392"/>
      <c r="F64" s="392"/>
      <c r="H64" s="377"/>
      <c r="L64" s="392"/>
      <c r="M64" s="392"/>
    </row>
    <row r="65" spans="5:13" ht="14.25">
      <c r="E65" s="392"/>
      <c r="F65" s="392"/>
      <c r="H65" s="377"/>
      <c r="L65" s="392"/>
      <c r="M65" s="392"/>
    </row>
    <row r="66" spans="5:13" ht="14.25">
      <c r="E66" s="392"/>
      <c r="F66" s="392"/>
      <c r="H66" s="377"/>
      <c r="L66" s="392"/>
      <c r="M66" s="392"/>
    </row>
    <row r="67" spans="5:6" ht="14.25">
      <c r="E67" s="392"/>
      <c r="F67" s="392"/>
    </row>
    <row r="68" spans="5:6" ht="14.25">
      <c r="E68" s="392"/>
      <c r="F68" s="392"/>
    </row>
    <row r="69" spans="5:6" ht="14.25">
      <c r="E69" s="392"/>
      <c r="F69" s="392"/>
    </row>
    <row r="70" spans="5:6" ht="14.25">
      <c r="E70" s="392"/>
      <c r="F70" s="392"/>
    </row>
    <row r="71" spans="5:6" ht="14.25">
      <c r="E71" s="392"/>
      <c r="F71" s="392"/>
    </row>
    <row r="72" spans="5:8" ht="14.25">
      <c r="E72" s="392"/>
      <c r="F72" s="392"/>
      <c r="H72" s="46" t="s">
        <v>142</v>
      </c>
    </row>
    <row r="73" spans="5:8" ht="14.25">
      <c r="E73" s="392"/>
      <c r="F73" s="392"/>
      <c r="H73" s="46" t="s">
        <v>101</v>
      </c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spans="5:6" ht="14.25">
      <c r="E120" s="392"/>
      <c r="F120" s="392"/>
    </row>
    <row r="121" spans="5:6" ht="14.25">
      <c r="E121" s="392"/>
      <c r="F121" s="392"/>
    </row>
    <row r="122" spans="5:6" ht="14.25">
      <c r="E122" s="392"/>
      <c r="F122" s="392"/>
    </row>
    <row r="123" spans="5:6" ht="14.25">
      <c r="E123" s="392"/>
      <c r="F123" s="392"/>
    </row>
    <row r="124" spans="5:6" ht="14.25">
      <c r="E124" s="392"/>
      <c r="F124" s="392"/>
    </row>
    <row r="125" spans="5:6" ht="14.25">
      <c r="E125" s="392"/>
      <c r="F125" s="392"/>
    </row>
    <row r="126" spans="5:6" ht="14.25">
      <c r="E126" s="392"/>
      <c r="F126" s="392"/>
    </row>
    <row r="127" spans="5:6" ht="14.25">
      <c r="E127" s="392"/>
      <c r="F127" s="392"/>
    </row>
    <row r="128" spans="5:6" ht="14.25">
      <c r="E128" s="392"/>
      <c r="F128" s="392"/>
    </row>
    <row r="129" spans="5:6" ht="14.25">
      <c r="E129" s="392"/>
      <c r="F129" s="392"/>
    </row>
    <row r="130" spans="5:6" ht="14.25">
      <c r="E130" s="392"/>
      <c r="F130" s="392"/>
    </row>
    <row r="131" spans="5:6" ht="14.25">
      <c r="E131" s="392"/>
      <c r="F131" s="392"/>
    </row>
    <row r="132" spans="5:6" ht="14.25">
      <c r="E132" s="392"/>
      <c r="F132" s="392"/>
    </row>
    <row r="133" spans="5:6" ht="14.25">
      <c r="E133" s="392"/>
      <c r="F133" s="392"/>
    </row>
    <row r="134" spans="5:6" ht="14.25">
      <c r="E134" s="392"/>
      <c r="F134" s="392"/>
    </row>
    <row r="135" spans="5:6" ht="14.25">
      <c r="E135" s="392"/>
      <c r="F135" s="392"/>
    </row>
    <row r="136" spans="5:6" ht="14.25">
      <c r="E136" s="392"/>
      <c r="F136" s="392"/>
    </row>
    <row r="137" spans="5:6" ht="14.25">
      <c r="E137" s="392"/>
      <c r="F137" s="392"/>
    </row>
    <row r="138" spans="5:6" ht="14.25">
      <c r="E138" s="392"/>
      <c r="F138" s="392"/>
    </row>
    <row r="139" spans="5:6" ht="14.25">
      <c r="E139" s="392"/>
      <c r="F139" s="392"/>
    </row>
    <row r="140" spans="5:6" ht="14.25">
      <c r="E140" s="392"/>
      <c r="F140" s="392"/>
    </row>
    <row r="141" spans="5:6" ht="14.25">
      <c r="E141" s="392"/>
      <c r="F141" s="392"/>
    </row>
    <row r="142" spans="5:6" ht="14.25">
      <c r="E142" s="392"/>
      <c r="F142" s="392"/>
    </row>
    <row r="143" spans="5:6" ht="14.25">
      <c r="E143" s="392"/>
      <c r="F143" s="392"/>
    </row>
    <row r="144" spans="5:6" ht="14.25">
      <c r="E144" s="392"/>
      <c r="F144" s="392"/>
    </row>
    <row r="145" spans="5:6" ht="14.25">
      <c r="E145" s="392"/>
      <c r="F145" s="392"/>
    </row>
    <row r="146" spans="5:6" ht="14.25">
      <c r="E146" s="392"/>
      <c r="F146" s="392"/>
    </row>
    <row r="147" spans="5:6" ht="14.25">
      <c r="E147" s="392"/>
      <c r="F147" s="392"/>
    </row>
    <row r="148" spans="5:6" ht="14.25">
      <c r="E148" s="392"/>
      <c r="F148" s="392"/>
    </row>
    <row r="149" spans="5:6" ht="14.25">
      <c r="E149" s="392"/>
      <c r="F149" s="392"/>
    </row>
    <row r="150" spans="5:6" ht="14.25">
      <c r="E150" s="392"/>
      <c r="F150" s="392"/>
    </row>
    <row r="151" spans="5:6" ht="14.25">
      <c r="E151" s="392"/>
      <c r="F151" s="392"/>
    </row>
    <row r="152" spans="5:6" ht="14.25">
      <c r="E152" s="392"/>
      <c r="F152" s="392"/>
    </row>
    <row r="153" spans="5:6" ht="14.25">
      <c r="E153" s="392"/>
      <c r="F153" s="392"/>
    </row>
    <row r="154" spans="5:6" ht="14.25">
      <c r="E154" s="392"/>
      <c r="F154" s="392"/>
    </row>
    <row r="155" spans="5:6" ht="14.25">
      <c r="E155" s="392"/>
      <c r="F155" s="392"/>
    </row>
    <row r="156" spans="5:6" ht="14.25">
      <c r="E156" s="392"/>
      <c r="F156" s="392"/>
    </row>
    <row r="157" spans="5:6" ht="14.25">
      <c r="E157" s="392"/>
      <c r="F157" s="392"/>
    </row>
    <row r="158" spans="5:6" ht="14.25">
      <c r="E158" s="392"/>
      <c r="F158" s="392"/>
    </row>
    <row r="159" spans="5:6" ht="14.25">
      <c r="E159" s="392"/>
      <c r="F159" s="392"/>
    </row>
    <row r="160" spans="5:6" ht="14.25">
      <c r="E160" s="392"/>
      <c r="F160" s="392"/>
    </row>
    <row r="161" spans="5:6" ht="14.25">
      <c r="E161" s="392"/>
      <c r="F161" s="392"/>
    </row>
    <row r="162" spans="5:6" ht="14.25">
      <c r="E162" s="392"/>
      <c r="F162" s="392"/>
    </row>
    <row r="163" spans="5:6" ht="14.25">
      <c r="E163" s="392"/>
      <c r="F163" s="392"/>
    </row>
    <row r="164" spans="5:6" ht="14.25">
      <c r="E164" s="392"/>
      <c r="F164" s="392"/>
    </row>
    <row r="165" spans="5:6" ht="14.25">
      <c r="E165" s="392"/>
      <c r="F165" s="392"/>
    </row>
    <row r="166" spans="5:6" ht="14.25">
      <c r="E166" s="392"/>
      <c r="F166" s="392"/>
    </row>
    <row r="167" spans="5:6" ht="14.25">
      <c r="E167" s="392"/>
      <c r="F167" s="392"/>
    </row>
    <row r="168" spans="5:6" ht="14.25">
      <c r="E168" s="392"/>
      <c r="F168" s="392"/>
    </row>
    <row r="169" spans="5:6" ht="14.25">
      <c r="E169" s="392"/>
      <c r="F169" s="392"/>
    </row>
    <row r="170" spans="5:6" ht="14.25">
      <c r="E170" s="392"/>
      <c r="F170" s="392"/>
    </row>
    <row r="171" spans="5:6" ht="14.25">
      <c r="E171" s="392"/>
      <c r="F171" s="392"/>
    </row>
    <row r="172" spans="5:6" ht="14.25">
      <c r="E172" s="392"/>
      <c r="F172" s="392"/>
    </row>
    <row r="173" spans="5:6" ht="14.25">
      <c r="E173" s="392"/>
      <c r="F173" s="392"/>
    </row>
    <row r="174" spans="5:6" ht="14.25">
      <c r="E174" s="392"/>
      <c r="F174" s="392"/>
    </row>
    <row r="175" spans="5:6" ht="14.25">
      <c r="E175" s="392"/>
      <c r="F175" s="392"/>
    </row>
    <row r="176" spans="5:6" ht="14.25">
      <c r="E176" s="392"/>
      <c r="F176" s="392"/>
    </row>
    <row r="177" spans="5:6" ht="14.25">
      <c r="E177" s="392"/>
      <c r="F177" s="392"/>
    </row>
    <row r="178" spans="5:6" ht="14.25">
      <c r="E178" s="392"/>
      <c r="F178" s="392"/>
    </row>
    <row r="179" spans="5:6" ht="14.25">
      <c r="E179" s="392"/>
      <c r="F179" s="392"/>
    </row>
    <row r="180" spans="5:6" ht="14.25">
      <c r="E180" s="392"/>
      <c r="F180" s="392"/>
    </row>
    <row r="181" spans="5:6" ht="14.25">
      <c r="E181" s="392"/>
      <c r="F181" s="392"/>
    </row>
    <row r="182" spans="5:6" ht="14.25">
      <c r="E182" s="392"/>
      <c r="F182" s="392"/>
    </row>
    <row r="183" spans="5:6" ht="14.25">
      <c r="E183" s="392"/>
      <c r="F183" s="392"/>
    </row>
    <row r="184" spans="5:6" ht="14.25">
      <c r="E184" s="392"/>
      <c r="F184" s="392"/>
    </row>
    <row r="185" spans="5:6" ht="14.25">
      <c r="E185" s="392"/>
      <c r="F185" s="392"/>
    </row>
    <row r="186" spans="5:6" ht="14.25">
      <c r="E186" s="392"/>
      <c r="F186" s="392"/>
    </row>
    <row r="187" spans="5:6" ht="14.25">
      <c r="E187" s="392"/>
      <c r="F187" s="392"/>
    </row>
    <row r="188" spans="5:6" ht="14.25">
      <c r="E188" s="392"/>
      <c r="F188" s="392"/>
    </row>
    <row r="189" spans="5:6" ht="14.25">
      <c r="E189" s="392"/>
      <c r="F189" s="392"/>
    </row>
    <row r="190" spans="5:6" ht="14.25">
      <c r="E190" s="392"/>
      <c r="F190" s="392"/>
    </row>
    <row r="191" spans="5:6" ht="14.25">
      <c r="E191" s="392"/>
      <c r="F191" s="392"/>
    </row>
    <row r="192" spans="5:6" ht="14.25">
      <c r="E192" s="392"/>
      <c r="F192" s="392"/>
    </row>
    <row r="193" spans="5:6" ht="14.25">
      <c r="E193" s="392"/>
      <c r="F193" s="392"/>
    </row>
    <row r="194" spans="5:6" ht="14.25">
      <c r="E194" s="392"/>
      <c r="F194" s="392"/>
    </row>
    <row r="195" spans="5:6" ht="14.25">
      <c r="E195" s="392"/>
      <c r="F195" s="392"/>
    </row>
    <row r="196" spans="5:6" ht="14.25">
      <c r="E196" s="392"/>
      <c r="F196" s="392"/>
    </row>
    <row r="197" spans="5:6" ht="14.25">
      <c r="E197" s="392"/>
      <c r="F197" s="392"/>
    </row>
    <row r="198" spans="5:6" ht="14.25">
      <c r="E198" s="392"/>
      <c r="F198" s="392"/>
    </row>
    <row r="199" spans="5:6" ht="14.25">
      <c r="E199" s="392"/>
      <c r="F199" s="392"/>
    </row>
    <row r="200" spans="5:6" ht="14.25">
      <c r="E200" s="392"/>
      <c r="F200" s="392"/>
    </row>
    <row r="201" spans="5:6" ht="14.25">
      <c r="E201" s="392"/>
      <c r="F201" s="392"/>
    </row>
    <row r="202" spans="5:6" ht="14.25">
      <c r="E202" s="392"/>
      <c r="F202" s="392"/>
    </row>
    <row r="203" spans="5:6" ht="14.25">
      <c r="E203" s="392"/>
      <c r="F203" s="392"/>
    </row>
    <row r="204" spans="5:6" ht="14.25">
      <c r="E204" s="392"/>
      <c r="F204" s="392"/>
    </row>
    <row r="205" spans="5:6" ht="14.25">
      <c r="E205" s="392"/>
      <c r="F205" s="392"/>
    </row>
    <row r="206" spans="5:6" ht="14.25">
      <c r="E206" s="392"/>
      <c r="F206" s="392"/>
    </row>
    <row r="207" spans="5:6" ht="14.25">
      <c r="E207" s="392"/>
      <c r="F207" s="392"/>
    </row>
    <row r="208" spans="5:6" ht="14.25">
      <c r="E208" s="392"/>
      <c r="F208" s="392"/>
    </row>
    <row r="209" spans="5:6" ht="14.25">
      <c r="E209" s="392"/>
      <c r="F209" s="392"/>
    </row>
    <row r="210" spans="5:6" ht="14.25">
      <c r="E210" s="392"/>
      <c r="F210" s="392"/>
    </row>
    <row r="211" spans="5:6" ht="14.25">
      <c r="E211" s="392"/>
      <c r="F211" s="392"/>
    </row>
    <row r="212" spans="5:6" ht="14.25">
      <c r="E212" s="392"/>
      <c r="F212" s="392"/>
    </row>
    <row r="213" spans="5:6" ht="14.25">
      <c r="E213" s="392"/>
      <c r="F213" s="392"/>
    </row>
    <row r="214" spans="5:6" ht="14.25">
      <c r="E214" s="392"/>
      <c r="F214" s="392"/>
    </row>
    <row r="215" spans="5:6" ht="14.25">
      <c r="E215" s="392"/>
      <c r="F215" s="392"/>
    </row>
    <row r="216" spans="5:6" ht="14.25">
      <c r="E216" s="392"/>
      <c r="F216" s="392"/>
    </row>
    <row r="217" spans="5:6" ht="14.25">
      <c r="E217" s="392"/>
      <c r="F217" s="392"/>
    </row>
    <row r="218" spans="5:6" ht="14.25">
      <c r="E218" s="392"/>
      <c r="F218" s="392"/>
    </row>
    <row r="219" spans="5:6" ht="14.25">
      <c r="E219" s="392"/>
      <c r="F219" s="392"/>
    </row>
    <row r="220" spans="5:6" ht="14.25">
      <c r="E220" s="392"/>
      <c r="F220" s="392"/>
    </row>
    <row r="221" spans="5:6" ht="14.25">
      <c r="E221" s="392"/>
      <c r="F221" s="392"/>
    </row>
    <row r="222" spans="5:6" ht="14.25">
      <c r="E222" s="392"/>
      <c r="F222" s="392"/>
    </row>
    <row r="223" spans="5:6" ht="14.25">
      <c r="E223" s="392"/>
      <c r="F223" s="392"/>
    </row>
    <row r="224" spans="5:6" ht="14.25">
      <c r="E224" s="392"/>
      <c r="F224" s="392"/>
    </row>
    <row r="225" spans="5:6" ht="14.25">
      <c r="E225" s="392"/>
      <c r="F225" s="392"/>
    </row>
    <row r="226" spans="5:6" ht="14.25">
      <c r="E226" s="392"/>
      <c r="F226" s="392"/>
    </row>
    <row r="227" spans="5:6" ht="14.25">
      <c r="E227" s="392"/>
      <c r="F227" s="392"/>
    </row>
    <row r="228" spans="5:6" ht="14.25">
      <c r="E228" s="392"/>
      <c r="F228" s="392"/>
    </row>
    <row r="229" spans="5:6" ht="14.25">
      <c r="E229" s="392"/>
      <c r="F229" s="392"/>
    </row>
    <row r="230" spans="5:6" ht="14.25">
      <c r="E230" s="392"/>
      <c r="F230" s="392"/>
    </row>
    <row r="231" spans="5:6" ht="14.25">
      <c r="E231" s="392"/>
      <c r="F231" s="392"/>
    </row>
    <row r="232" spans="5:6" ht="14.25">
      <c r="E232" s="392"/>
      <c r="F232" s="392"/>
    </row>
    <row r="233" spans="5:6" ht="14.25">
      <c r="E233" s="392"/>
      <c r="F233" s="392"/>
    </row>
    <row r="234" spans="5:6" ht="14.25">
      <c r="E234" s="392"/>
      <c r="F234" s="392"/>
    </row>
    <row r="235" spans="5:6" ht="14.25">
      <c r="E235" s="392"/>
      <c r="F235" s="392"/>
    </row>
    <row r="236" spans="5:6" ht="14.25">
      <c r="E236" s="392"/>
      <c r="F236" s="392"/>
    </row>
    <row r="237" spans="5:6" ht="14.25">
      <c r="E237" s="392"/>
      <c r="F237" s="392"/>
    </row>
    <row r="238" spans="5:6" ht="14.25">
      <c r="E238" s="392"/>
      <c r="F238" s="392"/>
    </row>
    <row r="239" spans="5:6" ht="14.25">
      <c r="E239" s="392"/>
      <c r="F239" s="392"/>
    </row>
    <row r="240" spans="5:6" ht="14.25">
      <c r="E240" s="392"/>
      <c r="F240" s="392"/>
    </row>
    <row r="241" spans="5:6" ht="14.25">
      <c r="E241" s="392"/>
      <c r="F241" s="392"/>
    </row>
    <row r="242" spans="5:6" ht="14.25">
      <c r="E242" s="392"/>
      <c r="F242" s="392"/>
    </row>
    <row r="243" spans="5:6" ht="14.25">
      <c r="E243" s="392"/>
      <c r="F243" s="392"/>
    </row>
    <row r="244" spans="5:6" ht="14.25">
      <c r="E244" s="392"/>
      <c r="F244" s="392"/>
    </row>
    <row r="245" spans="5:6" ht="14.25">
      <c r="E245" s="392"/>
      <c r="F245" s="392"/>
    </row>
    <row r="246" spans="5:6" ht="14.25">
      <c r="E246" s="392"/>
      <c r="F246" s="392"/>
    </row>
    <row r="247" spans="5:6" ht="14.25">
      <c r="E247" s="392"/>
      <c r="F247" s="392"/>
    </row>
    <row r="248" spans="5:6" ht="14.25">
      <c r="E248" s="392"/>
      <c r="F248" s="392"/>
    </row>
    <row r="249" spans="5:6" ht="14.25">
      <c r="E249" s="392"/>
      <c r="F249" s="392"/>
    </row>
    <row r="250" spans="5:6" ht="14.25">
      <c r="E250" s="392"/>
      <c r="F250" s="392"/>
    </row>
    <row r="251" spans="5:6" ht="14.25">
      <c r="E251" s="392"/>
      <c r="F251" s="392"/>
    </row>
    <row r="252" spans="5:6" ht="14.25">
      <c r="E252" s="392"/>
      <c r="F252" s="392"/>
    </row>
    <row r="253" spans="5:6" ht="14.25">
      <c r="E253" s="392"/>
      <c r="F253" s="392"/>
    </row>
    <row r="254" spans="5:6" ht="14.25">
      <c r="E254" s="392"/>
      <c r="F254" s="392"/>
    </row>
    <row r="255" spans="5:6" ht="14.25">
      <c r="E255" s="392"/>
      <c r="F255" s="392"/>
    </row>
    <row r="256" spans="5:6" ht="14.25">
      <c r="E256" s="392"/>
      <c r="F256" s="392"/>
    </row>
    <row r="257" spans="5:6" ht="14.25">
      <c r="E257" s="392"/>
      <c r="F257" s="392"/>
    </row>
    <row r="258" spans="5:6" ht="14.25">
      <c r="E258" s="392"/>
      <c r="F258" s="392"/>
    </row>
    <row r="259" spans="5:6" ht="14.25">
      <c r="E259" s="392"/>
      <c r="F259" s="392"/>
    </row>
    <row r="260" spans="5:6" ht="14.25">
      <c r="E260" s="392"/>
      <c r="F260" s="392"/>
    </row>
    <row r="261" spans="5:6" ht="14.25">
      <c r="E261" s="392"/>
      <c r="F261" s="392"/>
    </row>
    <row r="262" spans="5:6" ht="14.25">
      <c r="E262" s="392"/>
      <c r="F262" s="392"/>
    </row>
    <row r="263" spans="5:6" ht="14.25">
      <c r="E263" s="392"/>
      <c r="F263" s="392"/>
    </row>
    <row r="264" spans="5:6" ht="14.25">
      <c r="E264" s="392"/>
      <c r="F264" s="392"/>
    </row>
    <row r="265" spans="5:6" ht="14.25">
      <c r="E265" s="392"/>
      <c r="F265" s="392"/>
    </row>
    <row r="266" spans="5:6" ht="14.25">
      <c r="E266" s="392"/>
      <c r="F266" s="392"/>
    </row>
    <row r="267" spans="5:6" ht="14.25">
      <c r="E267" s="392"/>
      <c r="F267" s="392"/>
    </row>
    <row r="268" spans="5:6" ht="14.25">
      <c r="E268" s="392"/>
      <c r="F268" s="392"/>
    </row>
    <row r="269" spans="5:6" ht="14.25">
      <c r="E269" s="392"/>
      <c r="F269" s="392"/>
    </row>
    <row r="270" spans="5:6" ht="14.25">
      <c r="E270" s="392"/>
      <c r="F270" s="392"/>
    </row>
    <row r="271" spans="5:6" ht="14.25">
      <c r="E271" s="392"/>
      <c r="F271" s="392"/>
    </row>
    <row r="272" spans="5:6" ht="14.25">
      <c r="E272" s="392"/>
      <c r="F272" s="392"/>
    </row>
    <row r="273" spans="5:6" ht="14.25">
      <c r="E273" s="392"/>
      <c r="F273" s="392"/>
    </row>
    <row r="274" spans="5:6" ht="14.25">
      <c r="E274" s="392"/>
      <c r="F274" s="392"/>
    </row>
    <row r="275" spans="5:6" ht="14.25">
      <c r="E275" s="392"/>
      <c r="F275" s="392"/>
    </row>
    <row r="276" spans="5:6" ht="14.25">
      <c r="E276" s="392"/>
      <c r="F276" s="392"/>
    </row>
    <row r="277" spans="5:6" ht="14.25">
      <c r="E277" s="392"/>
      <c r="F277" s="392"/>
    </row>
    <row r="278" spans="5:6" ht="14.25">
      <c r="E278" s="392"/>
      <c r="F278" s="392"/>
    </row>
    <row r="279" spans="5:6" ht="14.25">
      <c r="E279" s="392"/>
      <c r="F279" s="392"/>
    </row>
    <row r="280" spans="5:6" ht="14.25">
      <c r="E280" s="392"/>
      <c r="F280" s="392"/>
    </row>
    <row r="281" spans="5:6" ht="14.25">
      <c r="E281" s="392"/>
      <c r="F281" s="392"/>
    </row>
    <row r="282" spans="5:6" ht="14.25">
      <c r="E282" s="392"/>
      <c r="F282" s="392"/>
    </row>
    <row r="283" spans="5:6" ht="14.25">
      <c r="E283" s="392"/>
      <c r="F283" s="392"/>
    </row>
    <row r="284" spans="5:6" ht="14.25">
      <c r="E284" s="392"/>
      <c r="F284" s="392"/>
    </row>
    <row r="285" spans="5:6" ht="14.25">
      <c r="E285" s="392"/>
      <c r="F285" s="392"/>
    </row>
    <row r="286" spans="5:6" ht="14.25">
      <c r="E286" s="392"/>
      <c r="F286" s="392"/>
    </row>
    <row r="287" spans="5:6" ht="14.25">
      <c r="E287" s="392"/>
      <c r="F287" s="392"/>
    </row>
    <row r="288" spans="5:6" ht="14.25">
      <c r="E288" s="392"/>
      <c r="F288" s="392"/>
    </row>
    <row r="289" spans="5:6" ht="14.25">
      <c r="E289" s="392"/>
      <c r="F289" s="392"/>
    </row>
    <row r="290" spans="5:6" ht="14.25">
      <c r="E290" s="392"/>
      <c r="F290" s="392"/>
    </row>
    <row r="291" spans="5:6" ht="14.25">
      <c r="E291" s="392"/>
      <c r="F291" s="392"/>
    </row>
    <row r="292" spans="5:6" ht="14.25">
      <c r="E292" s="392"/>
      <c r="F292" s="392"/>
    </row>
    <row r="293" spans="5:6" ht="14.25">
      <c r="E293" s="392"/>
      <c r="F293" s="392"/>
    </row>
    <row r="294" spans="5:6" ht="14.25">
      <c r="E294" s="392"/>
      <c r="F294" s="392"/>
    </row>
    <row r="295" spans="5:6" ht="14.25">
      <c r="E295" s="392"/>
      <c r="F295" s="392"/>
    </row>
    <row r="296" spans="5:6" ht="14.25">
      <c r="E296" s="392"/>
      <c r="F296" s="392"/>
    </row>
    <row r="297" spans="5:6" ht="14.25">
      <c r="E297" s="392"/>
      <c r="F297" s="392"/>
    </row>
    <row r="298" spans="5:6" ht="14.25">
      <c r="E298" s="392"/>
      <c r="F298" s="392"/>
    </row>
    <row r="299" spans="5:6" ht="14.25">
      <c r="E299" s="392"/>
      <c r="F299" s="392"/>
    </row>
    <row r="300" spans="5:6" ht="14.25">
      <c r="E300" s="392"/>
      <c r="F300" s="392"/>
    </row>
    <row r="301" spans="5:6" ht="14.25">
      <c r="E301" s="392"/>
      <c r="F301" s="392"/>
    </row>
    <row r="302" spans="5:6" ht="14.25">
      <c r="E302" s="392"/>
      <c r="F302" s="392"/>
    </row>
    <row r="303" spans="5:6" ht="14.25">
      <c r="E303" s="392"/>
      <c r="F303" s="392"/>
    </row>
    <row r="304" spans="5:6" ht="14.25">
      <c r="E304" s="392"/>
      <c r="F304" s="392"/>
    </row>
    <row r="305" spans="5:6" ht="14.25">
      <c r="E305" s="392"/>
      <c r="F305" s="392"/>
    </row>
    <row r="306" spans="5:6" ht="14.25">
      <c r="E306" s="392"/>
      <c r="F306" s="392"/>
    </row>
    <row r="307" spans="5:6" ht="14.25">
      <c r="E307" s="392"/>
      <c r="F307" s="392"/>
    </row>
    <row r="308" spans="5:6" ht="14.25">
      <c r="E308" s="392"/>
      <c r="F308" s="392"/>
    </row>
    <row r="309" spans="5:6" ht="14.25">
      <c r="E309" s="392"/>
      <c r="F309" s="392"/>
    </row>
    <row r="310" spans="5:6" ht="14.25">
      <c r="E310" s="392"/>
      <c r="F310" s="392"/>
    </row>
    <row r="311" spans="5:6" ht="14.25">
      <c r="E311" s="392"/>
      <c r="F311" s="392"/>
    </row>
    <row r="312" spans="5:6" ht="14.25">
      <c r="E312" s="392"/>
      <c r="F312" s="392"/>
    </row>
    <row r="313" spans="5:6" ht="14.25">
      <c r="E313" s="392"/>
      <c r="F313" s="392"/>
    </row>
    <row r="314" spans="5:6" ht="14.25">
      <c r="E314" s="392"/>
      <c r="F314" s="392"/>
    </row>
    <row r="315" spans="5:6" ht="14.25">
      <c r="E315" s="392"/>
      <c r="F315" s="392"/>
    </row>
    <row r="316" spans="5:6" ht="14.25">
      <c r="E316" s="392"/>
      <c r="F316" s="392"/>
    </row>
    <row r="317" spans="5:6" ht="14.25">
      <c r="E317" s="392"/>
      <c r="F317" s="392"/>
    </row>
  </sheetData>
  <printOptions/>
  <pageMargins left="0.17" right="0.17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6"/>
  <sheetViews>
    <sheetView workbookViewId="0" topLeftCell="F1">
      <selection activeCell="G49" sqref="G49"/>
    </sheetView>
  </sheetViews>
  <sheetFormatPr defaultColWidth="9.140625" defaultRowHeight="12.75"/>
  <cols>
    <col min="1" max="1" width="36.140625" style="294" hidden="1" customWidth="1"/>
    <col min="2" max="2" width="12.57421875" style="294" hidden="1" customWidth="1"/>
    <col min="3" max="3" width="12.7109375" style="294" hidden="1" customWidth="1"/>
    <col min="4" max="4" width="13.8515625" style="294" hidden="1" customWidth="1"/>
    <col min="5" max="5" width="7.28125" style="294" hidden="1" customWidth="1"/>
    <col min="6" max="6" width="40.57421875" style="294" customWidth="1"/>
    <col min="7" max="7" width="12.421875" style="294" customWidth="1"/>
    <col min="8" max="8" width="9.7109375" style="294" customWidth="1"/>
    <col min="9" max="9" width="12.140625" style="294" customWidth="1"/>
    <col min="10" max="10" width="12.00390625" style="294" customWidth="1"/>
    <col min="34" max="16384" width="9.140625" style="294" customWidth="1"/>
  </cols>
  <sheetData>
    <row r="1" spans="1:10" ht="17.25" customHeight="1">
      <c r="A1" s="32" t="s">
        <v>471</v>
      </c>
      <c r="B1" s="32"/>
      <c r="C1" s="32"/>
      <c r="D1" s="32"/>
      <c r="E1" s="294" t="s">
        <v>472</v>
      </c>
      <c r="F1" s="294" t="s">
        <v>473</v>
      </c>
      <c r="G1" s="32"/>
      <c r="H1" s="32"/>
      <c r="I1" s="32"/>
      <c r="J1" s="394" t="s">
        <v>472</v>
      </c>
    </row>
    <row r="2" ht="1.5" customHeight="1" hidden="1"/>
    <row r="3" ht="15.75" customHeight="1"/>
    <row r="4" spans="1:10" ht="15.75">
      <c r="A4" s="45" t="s">
        <v>474</v>
      </c>
      <c r="B4" s="45"/>
      <c r="C4" s="45"/>
      <c r="D4" s="45"/>
      <c r="E4" s="45"/>
      <c r="F4" s="45" t="s">
        <v>474</v>
      </c>
      <c r="G4" s="45"/>
      <c r="H4" s="45"/>
      <c r="I4" s="45"/>
      <c r="J4" s="45"/>
    </row>
    <row r="5" spans="1:10" ht="19.5" customHeight="1">
      <c r="A5" s="395" t="s">
        <v>475</v>
      </c>
      <c r="B5" s="395"/>
      <c r="C5" s="395"/>
      <c r="D5" s="395"/>
      <c r="E5" s="395"/>
      <c r="F5" s="395" t="s">
        <v>475</v>
      </c>
      <c r="G5" s="395"/>
      <c r="H5" s="395"/>
      <c r="I5" s="395"/>
      <c r="J5" s="395"/>
    </row>
    <row r="6" spans="5:10" ht="17.25" customHeight="1">
      <c r="E6" s="294" t="s">
        <v>374</v>
      </c>
      <c r="J6" s="394" t="s">
        <v>149</v>
      </c>
    </row>
    <row r="7" spans="1:10" ht="51">
      <c r="A7" s="145" t="s">
        <v>59</v>
      </c>
      <c r="B7" s="145" t="s">
        <v>312</v>
      </c>
      <c r="C7" s="140" t="s">
        <v>112</v>
      </c>
      <c r="D7" s="140" t="s">
        <v>476</v>
      </c>
      <c r="E7" s="140" t="s">
        <v>377</v>
      </c>
      <c r="F7" s="145" t="s">
        <v>59</v>
      </c>
      <c r="G7" s="145" t="s">
        <v>111</v>
      </c>
      <c r="H7" s="140" t="s">
        <v>112</v>
      </c>
      <c r="I7" s="140" t="s">
        <v>476</v>
      </c>
      <c r="J7" s="140" t="s">
        <v>377</v>
      </c>
    </row>
    <row r="8" spans="1:10" ht="12.75">
      <c r="A8" s="145">
        <v>1</v>
      </c>
      <c r="B8" s="145">
        <v>2</v>
      </c>
      <c r="C8" s="145">
        <v>3</v>
      </c>
      <c r="D8" s="145">
        <v>4</v>
      </c>
      <c r="E8" s="396">
        <v>5</v>
      </c>
      <c r="F8" s="145">
        <v>1</v>
      </c>
      <c r="G8" s="145">
        <v>2</v>
      </c>
      <c r="H8" s="145">
        <v>3</v>
      </c>
      <c r="I8" s="145">
        <v>4</v>
      </c>
      <c r="J8" s="145">
        <v>5</v>
      </c>
    </row>
    <row r="9" spans="1:10" ht="25.5">
      <c r="A9" s="146" t="s">
        <v>477</v>
      </c>
      <c r="B9" s="397">
        <f>584787+703885</f>
        <v>1288672</v>
      </c>
      <c r="C9" s="397">
        <f>SUM(C10:C11)</f>
        <v>1350470</v>
      </c>
      <c r="D9" s="300">
        <f>IF(ISERROR(C9/B9)," ",(C9/B9))</f>
        <v>1.0479547937721934</v>
      </c>
      <c r="E9" s="398">
        <f>SUM(E10:E11)</f>
        <v>649473</v>
      </c>
      <c r="F9" s="146" t="s">
        <v>477</v>
      </c>
      <c r="G9" s="397">
        <f>ROUND(B9/1000,0)</f>
        <v>1289</v>
      </c>
      <c r="H9" s="399">
        <f>SUM(H10:H11)</f>
        <v>1351</v>
      </c>
      <c r="I9" s="111">
        <f aca="true" t="shared" si="0" ref="I9:I15">IF(ISERROR(H9/G9)," ",(H9/G9))</f>
        <v>1.048099301784329</v>
      </c>
      <c r="J9" s="397">
        <f>SUM(J10:J11)</f>
        <v>650</v>
      </c>
    </row>
    <row r="10" spans="1:10" ht="25.5">
      <c r="A10" s="119" t="s">
        <v>478</v>
      </c>
      <c r="B10" s="278" t="s">
        <v>66</v>
      </c>
      <c r="C10" s="400">
        <f>906632</f>
        <v>906632</v>
      </c>
      <c r="D10" s="401" t="str">
        <f aca="true" t="shared" si="1" ref="D10:D17">IF(ISERROR(C10/B10)," ",(C10/B10))</f>
        <v> </v>
      </c>
      <c r="E10" s="402">
        <f>C10-'[9]Februāris'!C10</f>
        <v>428962</v>
      </c>
      <c r="F10" s="119" t="s">
        <v>478</v>
      </c>
      <c r="G10" s="145" t="s">
        <v>66</v>
      </c>
      <c r="H10" s="400">
        <f>ROUND(C10/1000,0)</f>
        <v>907</v>
      </c>
      <c r="I10" s="111" t="str">
        <f t="shared" si="0"/>
        <v> </v>
      </c>
      <c r="J10" s="400">
        <f>H10-'[9]Februāris'!H10</f>
        <v>429</v>
      </c>
    </row>
    <row r="11" spans="1:10" ht="26.25" customHeight="1">
      <c r="A11" s="119" t="s">
        <v>479</v>
      </c>
      <c r="B11" s="278" t="s">
        <v>66</v>
      </c>
      <c r="C11" s="400">
        <v>443838</v>
      </c>
      <c r="D11" s="401" t="str">
        <f t="shared" si="1"/>
        <v> </v>
      </c>
      <c r="E11" s="402">
        <f>C11-'[9]Februāris'!C11</f>
        <v>220511</v>
      </c>
      <c r="F11" s="119" t="s">
        <v>480</v>
      </c>
      <c r="G11" s="145" t="s">
        <v>66</v>
      </c>
      <c r="H11" s="400">
        <f>ROUND(C11/1000,0)</f>
        <v>444</v>
      </c>
      <c r="I11" s="111" t="str">
        <f t="shared" si="0"/>
        <v> </v>
      </c>
      <c r="J11" s="400">
        <f>H11-'[9]Februāris'!H11</f>
        <v>221</v>
      </c>
    </row>
    <row r="12" spans="1:10" ht="12.75">
      <c r="A12" s="146" t="s">
        <v>481</v>
      </c>
      <c r="B12" s="6">
        <f>SUM(B13,B30)</f>
        <v>2101061</v>
      </c>
      <c r="C12" s="6">
        <f>SUM(C13,C30)</f>
        <v>1328217</v>
      </c>
      <c r="D12" s="300">
        <f t="shared" si="1"/>
        <v>0.6321648919284114</v>
      </c>
      <c r="E12" s="303">
        <f>SUM(E13,E30)</f>
        <v>613246.3300000001</v>
      </c>
      <c r="F12" s="146" t="s">
        <v>481</v>
      </c>
      <c r="G12" s="6">
        <f>SUM(G13,G30)</f>
        <v>2100</v>
      </c>
      <c r="H12" s="6">
        <f>SUM(H13,H30)</f>
        <v>1328</v>
      </c>
      <c r="I12" s="111">
        <f t="shared" si="0"/>
        <v>0.6323809523809524</v>
      </c>
      <c r="J12" s="6">
        <f>SUM(J13,J30)</f>
        <v>613</v>
      </c>
    </row>
    <row r="13" spans="1:10" ht="16.5" customHeight="1">
      <c r="A13" s="151" t="s">
        <v>457</v>
      </c>
      <c r="B13" s="6">
        <f>SUM(B14,B21,B24)</f>
        <v>1707612</v>
      </c>
      <c r="C13" s="6">
        <f>SUM(C14,C21,C24)</f>
        <v>1172596</v>
      </c>
      <c r="D13" s="300">
        <f t="shared" si="1"/>
        <v>0.6866876081920249</v>
      </c>
      <c r="E13" s="303">
        <f>SUM(E14,E21,E24)</f>
        <v>547724.3300000001</v>
      </c>
      <c r="F13" s="151" t="s">
        <v>457</v>
      </c>
      <c r="G13" s="6">
        <f>SUM(G14,G21,G24)</f>
        <v>1707</v>
      </c>
      <c r="H13" s="6">
        <f>SUM(H14,H21,H24)</f>
        <v>1173</v>
      </c>
      <c r="I13" s="111">
        <f t="shared" si="0"/>
        <v>0.687170474516696</v>
      </c>
      <c r="J13" s="6">
        <f>SUM(J14,J21,J24)</f>
        <v>548</v>
      </c>
    </row>
    <row r="14" spans="1:10" ht="12.75">
      <c r="A14" s="151" t="s">
        <v>324</v>
      </c>
      <c r="B14" s="6">
        <f>SUM(B15:B17)</f>
        <v>1569247</v>
      </c>
      <c r="C14" s="66">
        <f>SUM(C15,C16,C17,C20)</f>
        <v>1070386</v>
      </c>
      <c r="D14" s="300">
        <f t="shared" si="1"/>
        <v>0.6821016704189972</v>
      </c>
      <c r="E14" s="403">
        <f>SUM(E15,E16,E17,E20)</f>
        <v>520677.33</v>
      </c>
      <c r="F14" s="151" t="s">
        <v>324</v>
      </c>
      <c r="G14" s="397">
        <f>ROUND(B14/1000,0)</f>
        <v>1569</v>
      </c>
      <c r="H14" s="66">
        <f>SUM(H15,H16,H17,H20)</f>
        <v>1070</v>
      </c>
      <c r="I14" s="111">
        <f t="shared" si="0"/>
        <v>0.6819630337794774</v>
      </c>
      <c r="J14" s="66">
        <f>SUM(J15,J16,J17,J20)</f>
        <v>520</v>
      </c>
    </row>
    <row r="15" spans="1:10" ht="12.75">
      <c r="A15" s="239" t="s">
        <v>325</v>
      </c>
      <c r="B15" s="158">
        <v>194189</v>
      </c>
      <c r="C15" s="158">
        <v>104252</v>
      </c>
      <c r="D15" s="241">
        <f t="shared" si="1"/>
        <v>0.5368584214347878</v>
      </c>
      <c r="E15" s="404">
        <f>C15-'[9]Februāris'!C15</f>
        <v>46349</v>
      </c>
      <c r="F15" s="239" t="s">
        <v>325</v>
      </c>
      <c r="G15" s="400">
        <f>ROUND(B15/1000,0)</f>
        <v>194</v>
      </c>
      <c r="H15" s="400">
        <f>ROUND(C15/1000,0)</f>
        <v>104</v>
      </c>
      <c r="I15" s="111">
        <f t="shared" si="0"/>
        <v>0.5360824742268041</v>
      </c>
      <c r="J15" s="400">
        <f>H15-'[9]Februāris'!H15</f>
        <v>46</v>
      </c>
    </row>
    <row r="16" spans="1:10" ht="25.5">
      <c r="A16" s="119" t="s">
        <v>482</v>
      </c>
      <c r="B16" s="278" t="s">
        <v>66</v>
      </c>
      <c r="C16" s="158">
        <v>16607</v>
      </c>
      <c r="D16" s="278" t="s">
        <v>66</v>
      </c>
      <c r="E16" s="404">
        <f>C16-'[9]Februāris'!C16</f>
        <v>7229</v>
      </c>
      <c r="F16" s="119" t="s">
        <v>482</v>
      </c>
      <c r="G16" s="278" t="s">
        <v>66</v>
      </c>
      <c r="H16" s="400">
        <f>ROUND(C16/1000,0)</f>
        <v>17</v>
      </c>
      <c r="I16" s="278" t="s">
        <v>66</v>
      </c>
      <c r="J16" s="400">
        <f>H16-'[9]Februāris'!H16</f>
        <v>8</v>
      </c>
    </row>
    <row r="17" spans="1:10" ht="12.75">
      <c r="A17" s="119" t="s">
        <v>327</v>
      </c>
      <c r="B17" s="312">
        <v>1375058</v>
      </c>
      <c r="C17" s="158">
        <f>SUM(C18:C19)</f>
        <v>949527</v>
      </c>
      <c r="D17" s="241">
        <f t="shared" si="1"/>
        <v>0.6905359628466581</v>
      </c>
      <c r="E17" s="405">
        <f>SUM(E18:E19)</f>
        <v>467099.33</v>
      </c>
      <c r="F17" s="119" t="s">
        <v>327</v>
      </c>
      <c r="G17" s="278" t="s">
        <v>66</v>
      </c>
      <c r="H17" s="312">
        <f>SUM(H18:H19)</f>
        <v>949</v>
      </c>
      <c r="I17" s="278" t="s">
        <v>66</v>
      </c>
      <c r="J17" s="312">
        <f>SUM(J18:J19)</f>
        <v>466</v>
      </c>
    </row>
    <row r="18" spans="1:33" s="408" customFormat="1" ht="12.75">
      <c r="A18" s="171" t="s">
        <v>483</v>
      </c>
      <c r="B18" s="406" t="s">
        <v>66</v>
      </c>
      <c r="C18" s="172">
        <f>317088+82270+443838</f>
        <v>843196</v>
      </c>
      <c r="D18" s="406" t="s">
        <v>66</v>
      </c>
      <c r="E18" s="404">
        <f>C18-'[9]Februāris'!C18</f>
        <v>407864</v>
      </c>
      <c r="F18" s="171" t="s">
        <v>484</v>
      </c>
      <c r="G18" s="406" t="s">
        <v>66</v>
      </c>
      <c r="H18" s="407">
        <f>ROUND(C18/1000,0)</f>
        <v>843</v>
      </c>
      <c r="I18" s="406" t="s">
        <v>66</v>
      </c>
      <c r="J18" s="400">
        <f>H18-'[9]Februāris'!H18</f>
        <v>407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408" customFormat="1" ht="12.75">
      <c r="A19" s="264" t="s">
        <v>485</v>
      </c>
      <c r="B19" s="406" t="s">
        <v>66</v>
      </c>
      <c r="C19" s="172">
        <f>6627+99704</f>
        <v>106331</v>
      </c>
      <c r="D19" s="406" t="s">
        <v>66</v>
      </c>
      <c r="E19" s="404">
        <f>C19-'[9]Februāris'!C19</f>
        <v>59235.33</v>
      </c>
      <c r="F19" s="171" t="s">
        <v>486</v>
      </c>
      <c r="G19" s="406" t="s">
        <v>66</v>
      </c>
      <c r="H19" s="407">
        <f>ROUND(C19/1000,0)</f>
        <v>106</v>
      </c>
      <c r="I19" s="406" t="s">
        <v>66</v>
      </c>
      <c r="J19" s="400">
        <f>H19-'[9]Februāris'!H19</f>
        <v>59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10" ht="12.75">
      <c r="A20" s="119" t="s">
        <v>458</v>
      </c>
      <c r="B20" s="278" t="s">
        <v>66</v>
      </c>
      <c r="C20" s="158"/>
      <c r="D20" s="278" t="s">
        <v>66</v>
      </c>
      <c r="E20" s="404">
        <f>C20-'[9]Februāris'!C20</f>
        <v>0</v>
      </c>
      <c r="F20" s="119" t="s">
        <v>458</v>
      </c>
      <c r="G20" s="278" t="s">
        <v>66</v>
      </c>
      <c r="H20" s="400">
        <f>ROUND(C20/1000,0)</f>
        <v>0</v>
      </c>
      <c r="I20" s="278" t="s">
        <v>66</v>
      </c>
      <c r="J20" s="400">
        <f>H20-'[9]Februāris'!H20</f>
        <v>0</v>
      </c>
    </row>
    <row r="21" spans="1:10" ht="25.5">
      <c r="A21" s="126" t="s">
        <v>328</v>
      </c>
      <c r="B21" s="278" t="s">
        <v>66</v>
      </c>
      <c r="C21" s="66">
        <f>SUM(C22:C23)</f>
        <v>0</v>
      </c>
      <c r="D21" s="300" t="str">
        <f>IF(ISERROR(C21/B21)," ",(C21/B21))</f>
        <v> </v>
      </c>
      <c r="E21" s="403">
        <f>SUM(E22:E23)</f>
        <v>0</v>
      </c>
      <c r="F21" s="126" t="s">
        <v>328</v>
      </c>
      <c r="G21" s="278" t="s">
        <v>66</v>
      </c>
      <c r="H21" s="66">
        <f>SUM(H22:H23)</f>
        <v>0</v>
      </c>
      <c r="I21" s="409" t="str">
        <f>IF(ISERROR(ROUND(H21,0)/ROUND(g,0))," ",(ROUND(H21,)/ROUND(G21,)))</f>
        <v> </v>
      </c>
      <c r="J21" s="66">
        <f>SUM(J22:J23)</f>
        <v>0</v>
      </c>
    </row>
    <row r="22" spans="1:10" ht="25.5">
      <c r="A22" s="119" t="s">
        <v>487</v>
      </c>
      <c r="B22" s="278" t="s">
        <v>66</v>
      </c>
      <c r="C22" s="158"/>
      <c r="D22" s="278" t="s">
        <v>66</v>
      </c>
      <c r="E22" s="404">
        <f>C22-'[9]Februāris'!C22</f>
        <v>0</v>
      </c>
      <c r="F22" s="119" t="s">
        <v>487</v>
      </c>
      <c r="G22" s="278" t="s">
        <v>66</v>
      </c>
      <c r="H22" s="400">
        <f>ROUND(C22/1000,0)</f>
        <v>0</v>
      </c>
      <c r="I22" s="278" t="s">
        <v>66</v>
      </c>
      <c r="J22" s="400">
        <f>H22-'[9]Februāris'!H22</f>
        <v>0</v>
      </c>
    </row>
    <row r="23" spans="1:10" ht="25.5">
      <c r="A23" s="119" t="s">
        <v>488</v>
      </c>
      <c r="B23" s="278" t="s">
        <v>66</v>
      </c>
      <c r="C23" s="158"/>
      <c r="D23" s="278" t="s">
        <v>66</v>
      </c>
      <c r="E23" s="404">
        <f>C23-'[9]Februāris'!C23</f>
        <v>0</v>
      </c>
      <c r="F23" s="119" t="s">
        <v>488</v>
      </c>
      <c r="G23" s="278" t="s">
        <v>66</v>
      </c>
      <c r="H23" s="400">
        <f>ROUND(C23/1000,0)</f>
        <v>0</v>
      </c>
      <c r="I23" s="278" t="s">
        <v>66</v>
      </c>
      <c r="J23" s="400">
        <f>H23-'[9]Februāris'!H23</f>
        <v>0</v>
      </c>
    </row>
    <row r="24" spans="1:10" ht="17.25" customHeight="1">
      <c r="A24" s="26" t="s">
        <v>333</v>
      </c>
      <c r="B24" s="6">
        <f>SUM(B28:B29)</f>
        <v>138365</v>
      </c>
      <c r="C24" s="66">
        <f>SUM(C25:C29)</f>
        <v>102210</v>
      </c>
      <c r="D24" s="300">
        <f>IF(ISERROR(C24/B24)," ",(C24/B24))</f>
        <v>0.7386983702525928</v>
      </c>
      <c r="E24" s="403">
        <f>SUM(E25:E29)</f>
        <v>27047</v>
      </c>
      <c r="F24" s="26" t="s">
        <v>333</v>
      </c>
      <c r="G24" s="400">
        <f>ROUND(B24/1000,0)</f>
        <v>138</v>
      </c>
      <c r="H24" s="66">
        <f>SUM(H25:H29)</f>
        <v>103</v>
      </c>
      <c r="I24" s="111">
        <f>IF(ISERROR(H24/G24)," ",(H24/G24))</f>
        <v>0.7463768115942029</v>
      </c>
      <c r="J24" s="66">
        <f>SUM(J25:J29)</f>
        <v>28</v>
      </c>
    </row>
    <row r="25" spans="1:10" ht="15.75" customHeight="1">
      <c r="A25" s="239" t="s">
        <v>334</v>
      </c>
      <c r="B25" s="278" t="s">
        <v>66</v>
      </c>
      <c r="C25" s="158">
        <v>4601</v>
      </c>
      <c r="D25" s="278" t="s">
        <v>66</v>
      </c>
      <c r="E25" s="404">
        <f>C25-'[9]Februāris'!C25</f>
        <v>-1</v>
      </c>
      <c r="F25" s="239" t="s">
        <v>334</v>
      </c>
      <c r="G25" s="278" t="s">
        <v>66</v>
      </c>
      <c r="H25" s="400">
        <f>ROUND(C25/1000,0)</f>
        <v>5</v>
      </c>
      <c r="I25" s="278" t="s">
        <v>66</v>
      </c>
      <c r="J25" s="400">
        <f>H25-'[9]Februāris'!H25</f>
        <v>0</v>
      </c>
    </row>
    <row r="26" spans="1:10" ht="15.75" customHeight="1">
      <c r="A26" s="239" t="s">
        <v>335</v>
      </c>
      <c r="B26" s="278" t="s">
        <v>66</v>
      </c>
      <c r="C26" s="158"/>
      <c r="D26" s="278" t="s">
        <v>66</v>
      </c>
      <c r="E26" s="404">
        <f>C26-'[9]Februāris'!C26</f>
        <v>0</v>
      </c>
      <c r="F26" s="239" t="s">
        <v>335</v>
      </c>
      <c r="G26" s="278" t="s">
        <v>66</v>
      </c>
      <c r="H26" s="400">
        <f>ROUND(C26/1000,0)</f>
        <v>0</v>
      </c>
      <c r="I26" s="278" t="s">
        <v>66</v>
      </c>
      <c r="J26" s="400">
        <f>H26-'[9]Februāris'!H26</f>
        <v>0</v>
      </c>
    </row>
    <row r="27" spans="1:10" ht="16.5" customHeight="1">
      <c r="A27" s="119" t="s">
        <v>336</v>
      </c>
      <c r="B27" s="278" t="s">
        <v>66</v>
      </c>
      <c r="C27" s="158"/>
      <c r="D27" s="278" t="s">
        <v>66</v>
      </c>
      <c r="E27" s="404">
        <f>C27-'[9]Februāris'!C27</f>
        <v>0</v>
      </c>
      <c r="F27" s="119" t="s">
        <v>336</v>
      </c>
      <c r="G27" s="278" t="s">
        <v>66</v>
      </c>
      <c r="H27" s="400">
        <f>ROUND(C27/1000,0)</f>
        <v>0</v>
      </c>
      <c r="I27" s="278" t="s">
        <v>66</v>
      </c>
      <c r="J27" s="400">
        <f>H27-'[9]Februāris'!H27</f>
        <v>0</v>
      </c>
    </row>
    <row r="28" spans="1:10" ht="12.75">
      <c r="A28" s="119" t="s">
        <v>337</v>
      </c>
      <c r="B28" s="312">
        <v>22411</v>
      </c>
      <c r="C28" s="158">
        <v>16689</v>
      </c>
      <c r="D28" s="241">
        <f>IF(ISERROR(C28/B28)," ",(C28/B28))</f>
        <v>0.7446789523002098</v>
      </c>
      <c r="E28" s="404">
        <f>C28-'[9]Februāris'!C28</f>
        <v>10379</v>
      </c>
      <c r="F28" s="119" t="s">
        <v>489</v>
      </c>
      <c r="G28" s="278" t="s">
        <v>66</v>
      </c>
      <c r="H28" s="400">
        <f>ROUND(C28/1000,0)</f>
        <v>17</v>
      </c>
      <c r="I28" s="278" t="s">
        <v>66</v>
      </c>
      <c r="J28" s="400">
        <f>H28-'[9]Februāris'!H28</f>
        <v>11</v>
      </c>
    </row>
    <row r="29" spans="1:10" ht="15" customHeight="1">
      <c r="A29" s="119" t="s">
        <v>461</v>
      </c>
      <c r="B29" s="312">
        <f>110852+5102</f>
        <v>115954</v>
      </c>
      <c r="C29" s="158">
        <v>80920</v>
      </c>
      <c r="D29" s="241">
        <f>IF(ISERROR(C29/B29)," ",(C29/B29))</f>
        <v>0.6978629456508616</v>
      </c>
      <c r="E29" s="404">
        <f>C29-'[9]Februāris'!C29</f>
        <v>16669</v>
      </c>
      <c r="F29" s="119" t="s">
        <v>342</v>
      </c>
      <c r="G29" s="278" t="s">
        <v>66</v>
      </c>
      <c r="H29" s="400">
        <f>ROUND(C29/1000,0)</f>
        <v>81</v>
      </c>
      <c r="I29" s="278" t="s">
        <v>66</v>
      </c>
      <c r="J29" s="400">
        <f>H29-'[9]Februāris'!H29</f>
        <v>17</v>
      </c>
    </row>
    <row r="30" spans="1:10" ht="19.5" customHeight="1">
      <c r="A30" s="177" t="s">
        <v>490</v>
      </c>
      <c r="B30" s="66">
        <f>SUM(B31:B32)</f>
        <v>393449</v>
      </c>
      <c r="C30" s="66">
        <f>SUM(C31:C32)</f>
        <v>155621</v>
      </c>
      <c r="D30" s="300">
        <f>IF(ISERROR(C30/B30)," ",(C30/B30))</f>
        <v>0.39553029744642887</v>
      </c>
      <c r="E30" s="403">
        <f>SUM(E31:E32)</f>
        <v>65522</v>
      </c>
      <c r="F30" s="177" t="s">
        <v>490</v>
      </c>
      <c r="G30" s="66">
        <f>SUM(G31:G32)</f>
        <v>393</v>
      </c>
      <c r="H30" s="66">
        <f>SUM(H31:H32)</f>
        <v>155</v>
      </c>
      <c r="I30" s="111">
        <f>IF(ISERROR(H30/G30)," ",(H30/G30))</f>
        <v>0.3944020356234097</v>
      </c>
      <c r="J30" s="66">
        <f>SUM(J31:J32)</f>
        <v>65</v>
      </c>
    </row>
    <row r="31" spans="1:10" ht="18.75" customHeight="1">
      <c r="A31" s="119" t="s">
        <v>354</v>
      </c>
      <c r="B31" s="158">
        <v>335449</v>
      </c>
      <c r="C31" s="158">
        <f>132538+1670</f>
        <v>134208</v>
      </c>
      <c r="D31" s="241">
        <f>IF(ISERROR(C31/B31)," ",(C31/B31))</f>
        <v>0.40008466264618464</v>
      </c>
      <c r="E31" s="404">
        <f>C31-'[9]Februāris'!C31</f>
        <v>65522</v>
      </c>
      <c r="F31" s="119" t="s">
        <v>354</v>
      </c>
      <c r="G31" s="400">
        <f>ROUND(B31/1000,0)</f>
        <v>335</v>
      </c>
      <c r="H31" s="400">
        <f>ROUND(C31/1000,0)</f>
        <v>134</v>
      </c>
      <c r="I31" s="111">
        <f>IF(ISERROR(H31/G31)," ",(H31/G31))</f>
        <v>0.4</v>
      </c>
      <c r="J31" s="400">
        <f>H31-'[9]Februāris'!H31</f>
        <v>65</v>
      </c>
    </row>
    <row r="32" spans="1:10" ht="18" customHeight="1">
      <c r="A32" s="119" t="s">
        <v>356</v>
      </c>
      <c r="B32" s="158">
        <v>58000</v>
      </c>
      <c r="C32" s="172">
        <v>21413</v>
      </c>
      <c r="D32" s="241">
        <f>IF(ISERROR(C32/B32)," ",(C32/B32))</f>
        <v>0.3691896551724138</v>
      </c>
      <c r="E32" s="404">
        <f>C32-'[9]Februāris'!C32</f>
        <v>0</v>
      </c>
      <c r="F32" s="119" t="s">
        <v>356</v>
      </c>
      <c r="G32" s="400">
        <f>ROUND(B32/1000,0)</f>
        <v>58</v>
      </c>
      <c r="H32" s="400">
        <f>ROUND(C32/1000,0)</f>
        <v>21</v>
      </c>
      <c r="I32" s="111">
        <f>IF(ISERROR(H32/G32)," ",(H32/G32))</f>
        <v>0.3620689655172414</v>
      </c>
      <c r="J32" s="400">
        <f>H32-'[9]Februāris'!H32</f>
        <v>0</v>
      </c>
    </row>
    <row r="33" spans="1:33" s="239" customFormat="1" ht="15.75" customHeight="1">
      <c r="A33" s="177" t="s">
        <v>491</v>
      </c>
      <c r="B33" s="278" t="s">
        <v>66</v>
      </c>
      <c r="C33" s="6">
        <f>SUM(C9-C12)</f>
        <v>22253</v>
      </c>
      <c r="D33" s="278" t="s">
        <v>66</v>
      </c>
      <c r="E33" s="310" t="s">
        <v>66</v>
      </c>
      <c r="F33" s="177" t="s">
        <v>491</v>
      </c>
      <c r="G33" s="278"/>
      <c r="H33" s="66">
        <f>SUM(H9-H12)-1</f>
        <v>22</v>
      </c>
      <c r="I33" s="278" t="s">
        <v>66</v>
      </c>
      <c r="J33" s="278" t="s">
        <v>66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239" customFormat="1" ht="16.5" customHeight="1">
      <c r="A34" s="177" t="s">
        <v>365</v>
      </c>
      <c r="B34" s="278" t="s">
        <v>66</v>
      </c>
      <c r="C34" s="158">
        <f>-(C33)</f>
        <v>-22253</v>
      </c>
      <c r="D34" s="278" t="s">
        <v>66</v>
      </c>
      <c r="E34" s="310" t="s">
        <v>66</v>
      </c>
      <c r="F34" s="177" t="s">
        <v>365</v>
      </c>
      <c r="G34" s="158"/>
      <c r="H34" s="66">
        <f>ROUND(C34/1000,0)</f>
        <v>-22</v>
      </c>
      <c r="I34" s="278" t="s">
        <v>66</v>
      </c>
      <c r="J34" s="278" t="s">
        <v>66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239" customFormat="1" ht="26.25" customHeight="1">
      <c r="A35" s="286" t="s">
        <v>492</v>
      </c>
      <c r="B35" s="278" t="s">
        <v>66</v>
      </c>
      <c r="C35" s="158">
        <f>-(C33)</f>
        <v>-22253</v>
      </c>
      <c r="D35" s="278" t="s">
        <v>66</v>
      </c>
      <c r="E35" s="310" t="s">
        <v>66</v>
      </c>
      <c r="F35" s="286" t="s">
        <v>492</v>
      </c>
      <c r="G35" s="158"/>
      <c r="H35" s="400">
        <f>ROUND(C35/1000,0)</f>
        <v>-22</v>
      </c>
      <c r="I35" s="278" t="s">
        <v>66</v>
      </c>
      <c r="J35" s="278" t="s">
        <v>66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131" customFormat="1" ht="16.5" customHeight="1">
      <c r="A36" s="285"/>
      <c r="B36" s="183"/>
      <c r="C36" s="251"/>
      <c r="D36" s="251"/>
      <c r="E36" s="251"/>
      <c r="F36" s="285"/>
      <c r="G36" s="183"/>
      <c r="H36" s="251"/>
      <c r="I36" s="251"/>
      <c r="J36" s="251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131" customFormat="1" ht="16.5" customHeight="1">
      <c r="A37" s="285"/>
      <c r="B37" s="183"/>
      <c r="C37" s="251"/>
      <c r="D37" s="251"/>
      <c r="E37" s="251"/>
      <c r="F37" s="285"/>
      <c r="G37" s="183"/>
      <c r="H37" s="251"/>
      <c r="I37" s="251"/>
      <c r="J37" s="251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131" customFormat="1" ht="16.5" customHeight="1">
      <c r="A38" s="285"/>
      <c r="B38" s="183"/>
      <c r="C38" s="251"/>
      <c r="D38" s="251"/>
      <c r="E38" s="251"/>
      <c r="F38" s="37" t="s">
        <v>369</v>
      </c>
      <c r="G38" s="183"/>
      <c r="H38" s="251"/>
      <c r="I38" s="251"/>
      <c r="J38" s="251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131" customFormat="1" ht="16.5" customHeight="1">
      <c r="A39" s="285"/>
      <c r="B39" s="183"/>
      <c r="C39" s="251"/>
      <c r="D39" s="251"/>
      <c r="E39" s="251"/>
      <c r="J39" s="251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131" customFormat="1" ht="16.5" customHeight="1">
      <c r="A40" s="285"/>
      <c r="B40" s="183"/>
      <c r="C40" s="251"/>
      <c r="D40" s="251"/>
      <c r="E40" s="251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131" customFormat="1" ht="16.5" customHeight="1">
      <c r="A41" s="285"/>
      <c r="B41" s="183"/>
      <c r="C41" s="251"/>
      <c r="D41" s="251"/>
      <c r="E41" s="251"/>
      <c r="G41" s="183"/>
      <c r="H41" s="251"/>
      <c r="I41" s="251"/>
      <c r="J41" s="294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10" ht="16.5" customHeight="1">
      <c r="A42" s="180"/>
      <c r="B42" s="183"/>
      <c r="C42" s="183"/>
      <c r="D42" s="410"/>
      <c r="E42" s="131"/>
      <c r="G42" s="34"/>
      <c r="H42" s="34"/>
      <c r="I42" s="222"/>
      <c r="J42" s="32"/>
    </row>
    <row r="43" spans="2:9" ht="12.75">
      <c r="B43" s="29"/>
      <c r="C43" s="29"/>
      <c r="D43" s="411"/>
      <c r="G43" s="38"/>
      <c r="H43" s="29"/>
      <c r="I43" s="411"/>
    </row>
    <row r="44" spans="1:9" ht="12.75">
      <c r="A44" s="37" t="s">
        <v>369</v>
      </c>
      <c r="B44" s="34"/>
      <c r="C44" s="34"/>
      <c r="D44" s="222"/>
      <c r="E44" s="32"/>
      <c r="F44" s="294" t="s">
        <v>142</v>
      </c>
      <c r="G44" s="38"/>
      <c r="H44" s="29"/>
      <c r="I44" s="411"/>
    </row>
    <row r="45" spans="2:9" ht="12.75">
      <c r="B45" s="38"/>
      <c r="C45" s="29"/>
      <c r="D45" s="411"/>
      <c r="F45" s="294" t="s">
        <v>101</v>
      </c>
      <c r="G45" s="38"/>
      <c r="H45" s="29"/>
      <c r="I45" s="411"/>
    </row>
    <row r="46" spans="2:9" ht="12.75">
      <c r="B46" s="38"/>
      <c r="C46" s="29"/>
      <c r="D46" s="411"/>
      <c r="G46" s="38"/>
      <c r="H46" s="29"/>
      <c r="I46" s="411"/>
    </row>
    <row r="47" ht="12.75"/>
    <row r="48" ht="12.75"/>
    <row r="49" ht="12.75"/>
    <row r="50" ht="12" customHeight="1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printOptions/>
  <pageMargins left="0.9" right="0.24" top="0.59" bottom="0.16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workbookViewId="0" topLeftCell="F1">
      <selection activeCell="F7" sqref="F7"/>
    </sheetView>
  </sheetViews>
  <sheetFormatPr defaultColWidth="9.140625" defaultRowHeight="12.75"/>
  <cols>
    <col min="1" max="1" width="35.28125" style="44" hidden="1" customWidth="1"/>
    <col min="2" max="2" width="8.8515625" style="44" hidden="1" customWidth="1"/>
    <col min="3" max="3" width="14.28125" style="44" hidden="1" customWidth="1"/>
    <col min="4" max="4" width="13.7109375" style="44" hidden="1" customWidth="1"/>
    <col min="5" max="5" width="11.7109375" style="44" hidden="1" customWidth="1"/>
    <col min="6" max="6" width="44.28125" style="44" customWidth="1"/>
    <col min="7" max="7" width="8.00390625" style="44" customWidth="1"/>
    <col min="8" max="8" width="11.7109375" style="44" customWidth="1"/>
    <col min="9" max="9" width="10.8515625" style="44" customWidth="1"/>
    <col min="10" max="10" width="9.140625" style="44" customWidth="1"/>
    <col min="11" max="16384" width="7.8515625" style="44" customWidth="1"/>
  </cols>
  <sheetData>
    <row r="1" ht="12.75">
      <c r="H1" s="81"/>
    </row>
    <row r="2" spans="1:10" ht="12.75">
      <c r="A2" s="691" t="s">
        <v>493</v>
      </c>
      <c r="B2" s="691"/>
      <c r="C2" s="691"/>
      <c r="E2" s="37" t="s">
        <v>494</v>
      </c>
      <c r="F2" s="691" t="s">
        <v>495</v>
      </c>
      <c r="G2" s="691"/>
      <c r="H2" s="691"/>
      <c r="I2" s="691"/>
      <c r="J2" s="394" t="s">
        <v>494</v>
      </c>
    </row>
    <row r="3" ht="12.75">
      <c r="A3" s="412" t="s">
        <v>496</v>
      </c>
    </row>
    <row r="4" spans="1:10" ht="15.75">
      <c r="A4" s="693" t="s">
        <v>497</v>
      </c>
      <c r="B4" s="693"/>
      <c r="C4" s="693"/>
      <c r="D4" s="693"/>
      <c r="F4" s="692" t="s">
        <v>496</v>
      </c>
      <c r="G4" s="692"/>
      <c r="H4" s="692"/>
      <c r="I4" s="692"/>
      <c r="J4" s="692"/>
    </row>
    <row r="5" spans="6:10" ht="15.75">
      <c r="F5" s="692" t="s">
        <v>498</v>
      </c>
      <c r="G5" s="692"/>
      <c r="H5" s="692"/>
      <c r="I5" s="692"/>
      <c r="J5" s="105"/>
    </row>
    <row r="8" spans="5:10" ht="12.75">
      <c r="E8" s="37" t="s">
        <v>499</v>
      </c>
      <c r="J8" s="394" t="s">
        <v>149</v>
      </c>
    </row>
    <row r="9" spans="1:10" ht="51">
      <c r="A9" s="413" t="s">
        <v>59</v>
      </c>
      <c r="B9" s="198" t="s">
        <v>500</v>
      </c>
      <c r="C9" s="198" t="s">
        <v>110</v>
      </c>
      <c r="D9" s="198" t="s">
        <v>112</v>
      </c>
      <c r="E9" s="198" t="s">
        <v>501</v>
      </c>
      <c r="F9" s="142" t="s">
        <v>59</v>
      </c>
      <c r="G9" s="140" t="s">
        <v>500</v>
      </c>
      <c r="H9" s="140" t="s">
        <v>110</v>
      </c>
      <c r="I9" s="140" t="s">
        <v>112</v>
      </c>
      <c r="J9" s="140" t="s">
        <v>501</v>
      </c>
    </row>
    <row r="10" spans="1:10" ht="12.75">
      <c r="A10" s="413">
        <v>1</v>
      </c>
      <c r="B10" s="413">
        <v>2</v>
      </c>
      <c r="C10" s="198">
        <v>3</v>
      </c>
      <c r="D10" s="198">
        <v>4</v>
      </c>
      <c r="E10" s="198">
        <v>5</v>
      </c>
      <c r="F10" s="142">
        <v>1</v>
      </c>
      <c r="G10" s="142">
        <v>2</v>
      </c>
      <c r="H10" s="140">
        <v>3</v>
      </c>
      <c r="I10" s="140">
        <v>4</v>
      </c>
      <c r="J10" s="140">
        <v>5</v>
      </c>
    </row>
    <row r="11" spans="1:10" ht="17.25" customHeight="1">
      <c r="A11" s="250" t="s">
        <v>380</v>
      </c>
      <c r="B11" s="197"/>
      <c r="C11" s="414">
        <f>SUM(C12:C25)</f>
        <v>759846889</v>
      </c>
      <c r="D11" s="414">
        <f>D12+D13+D14+D15+D16+D17+D18+D19+D20+D21+D22+D23+D24+D25</f>
        <v>161145271.8</v>
      </c>
      <c r="E11" s="415">
        <f>IF(ISERROR(D11/C11)," ",(D11/C11))</f>
        <v>0.21207597758553173</v>
      </c>
      <c r="F11" s="151" t="s">
        <v>380</v>
      </c>
      <c r="G11" s="201"/>
      <c r="H11" s="6">
        <f>SUM(H12:H25)</f>
        <v>759847</v>
      </c>
      <c r="I11" s="6">
        <f>I12+I13+I14+I15+I16+I17+I18+I19+I20+I21+I22+I23+I24+I25+I26</f>
        <v>179602</v>
      </c>
      <c r="J11" s="409">
        <f>IF(ISERROR(I11/H11)," ",(I11/H11))</f>
        <v>0.23636600526158555</v>
      </c>
    </row>
    <row r="12" spans="1:10" ht="16.5" customHeight="1">
      <c r="A12" s="131" t="s">
        <v>502</v>
      </c>
      <c r="B12" s="416">
        <v>1</v>
      </c>
      <c r="C12" s="417">
        <v>81345350</v>
      </c>
      <c r="D12" s="417">
        <v>17484905.11</v>
      </c>
      <c r="E12" s="184">
        <f aca="true" t="shared" si="0" ref="E12:E25">IF(ISERROR(D12/C12)," ",(D12/C12))</f>
        <v>0.2149465840395302</v>
      </c>
      <c r="F12" s="239" t="s">
        <v>502</v>
      </c>
      <c r="G12" s="418">
        <v>1</v>
      </c>
      <c r="H12" s="158">
        <f>ROUND(C12/1000,)</f>
        <v>81345</v>
      </c>
      <c r="I12" s="158">
        <f>ROUND(D12/1000,)</f>
        <v>17485</v>
      </c>
      <c r="J12" s="419">
        <f aca="true" t="shared" si="1" ref="J12:J25">IF(ISERROR(I12/H12)," ",(I12/H12))</f>
        <v>0.21494867539492285</v>
      </c>
    </row>
    <row r="13" spans="1:10" ht="18.75" customHeight="1">
      <c r="A13" s="81" t="s">
        <v>503</v>
      </c>
      <c r="B13" s="416">
        <v>2</v>
      </c>
      <c r="C13" s="417">
        <v>42056404</v>
      </c>
      <c r="D13" s="417">
        <v>8541678.66</v>
      </c>
      <c r="E13" s="184">
        <f t="shared" si="0"/>
        <v>0.20310054706531733</v>
      </c>
      <c r="F13" s="67" t="s">
        <v>503</v>
      </c>
      <c r="G13" s="418">
        <v>2</v>
      </c>
      <c r="H13" s="158">
        <f aca="true" t="shared" si="2" ref="H13:H23">ROUND(C13/1000,)</f>
        <v>42056</v>
      </c>
      <c r="I13" s="158">
        <f>ROUND(D13/1000,0)</f>
        <v>8542</v>
      </c>
      <c r="J13" s="419">
        <f t="shared" si="1"/>
        <v>0.2031101388624691</v>
      </c>
    </row>
    <row r="14" spans="1:10" ht="17.25" customHeight="1">
      <c r="A14" s="81" t="s">
        <v>504</v>
      </c>
      <c r="B14" s="416">
        <v>3</v>
      </c>
      <c r="C14" s="417">
        <v>107516673</v>
      </c>
      <c r="D14" s="417">
        <v>24543276.06</v>
      </c>
      <c r="E14" s="184">
        <f t="shared" si="0"/>
        <v>0.22827413995594895</v>
      </c>
      <c r="F14" s="67" t="s">
        <v>504</v>
      </c>
      <c r="G14" s="418">
        <v>3</v>
      </c>
      <c r="H14" s="158">
        <f t="shared" si="2"/>
        <v>107517</v>
      </c>
      <c r="I14" s="158">
        <f>ROUND(D14/1000,0)</f>
        <v>24543</v>
      </c>
      <c r="J14" s="419">
        <f t="shared" si="1"/>
        <v>0.2282708780936968</v>
      </c>
    </row>
    <row r="15" spans="1:10" ht="18" customHeight="1">
      <c r="A15" s="81" t="s">
        <v>505</v>
      </c>
      <c r="B15" s="416">
        <v>4</v>
      </c>
      <c r="C15" s="417">
        <v>94107012</v>
      </c>
      <c r="D15" s="417">
        <v>18795935.06</v>
      </c>
      <c r="E15" s="184">
        <f t="shared" si="0"/>
        <v>0.19972937893299597</v>
      </c>
      <c r="F15" s="67" t="s">
        <v>505</v>
      </c>
      <c r="G15" s="418">
        <v>4</v>
      </c>
      <c r="H15" s="158">
        <f t="shared" si="2"/>
        <v>94107</v>
      </c>
      <c r="I15" s="158">
        <f aca="true" t="shared" si="3" ref="I15:I23">ROUND(D15/1000,0)</f>
        <v>18796</v>
      </c>
      <c r="J15" s="419">
        <f t="shared" si="1"/>
        <v>0.19973009446693657</v>
      </c>
    </row>
    <row r="16" spans="1:10" ht="18" customHeight="1">
      <c r="A16" s="81" t="s">
        <v>506</v>
      </c>
      <c r="B16" s="416">
        <v>5</v>
      </c>
      <c r="C16" s="417">
        <v>68611451</v>
      </c>
      <c r="D16" s="417">
        <v>15300245.15</v>
      </c>
      <c r="E16" s="184">
        <f t="shared" si="0"/>
        <v>0.2229984197535773</v>
      </c>
      <c r="F16" s="67" t="s">
        <v>506</v>
      </c>
      <c r="G16" s="418">
        <v>5</v>
      </c>
      <c r="H16" s="158">
        <f t="shared" si="2"/>
        <v>68611</v>
      </c>
      <c r="I16" s="158">
        <f>ROUND(D16/1000,0)</f>
        <v>15300</v>
      </c>
      <c r="J16" s="419">
        <f t="shared" si="1"/>
        <v>0.2229963125446357</v>
      </c>
    </row>
    <row r="17" spans="1:10" ht="20.25" customHeight="1">
      <c r="A17" s="81" t="s">
        <v>507</v>
      </c>
      <c r="B17" s="416">
        <v>6</v>
      </c>
      <c r="C17" s="417">
        <v>80413469</v>
      </c>
      <c r="D17" s="417">
        <v>19927829.93</v>
      </c>
      <c r="E17" s="184">
        <f t="shared" si="0"/>
        <v>0.2478170656957978</v>
      </c>
      <c r="F17" s="67" t="s">
        <v>507</v>
      </c>
      <c r="G17" s="418">
        <v>6</v>
      </c>
      <c r="H17" s="158">
        <f t="shared" si="2"/>
        <v>80413</v>
      </c>
      <c r="I17" s="158">
        <f t="shared" si="3"/>
        <v>19928</v>
      </c>
      <c r="J17" s="419">
        <f t="shared" si="1"/>
        <v>0.24782062601818114</v>
      </c>
    </row>
    <row r="18" spans="1:10" ht="26.25" customHeight="1">
      <c r="A18" s="217" t="s">
        <v>508</v>
      </c>
      <c r="B18" s="416">
        <v>7</v>
      </c>
      <c r="C18" s="417">
        <v>5236094</v>
      </c>
      <c r="D18" s="417">
        <v>918190.35</v>
      </c>
      <c r="E18" s="184">
        <f t="shared" si="0"/>
        <v>0.17535788127562263</v>
      </c>
      <c r="F18" s="119" t="s">
        <v>508</v>
      </c>
      <c r="G18" s="418">
        <v>7</v>
      </c>
      <c r="H18" s="158">
        <f t="shared" si="2"/>
        <v>5236</v>
      </c>
      <c r="I18" s="158">
        <f t="shared" si="3"/>
        <v>918</v>
      </c>
      <c r="J18" s="419">
        <f t="shared" si="1"/>
        <v>0.17532467532467533</v>
      </c>
    </row>
    <row r="19" spans="1:10" ht="18.75" customHeight="1">
      <c r="A19" s="81" t="s">
        <v>509</v>
      </c>
      <c r="B19" s="416">
        <v>8</v>
      </c>
      <c r="C19" s="417">
        <v>23321734</v>
      </c>
      <c r="D19" s="417">
        <v>5996911.73</v>
      </c>
      <c r="E19" s="184">
        <f t="shared" si="0"/>
        <v>0.2571383298514596</v>
      </c>
      <c r="F19" s="67" t="s">
        <v>509</v>
      </c>
      <c r="G19" s="418">
        <v>8</v>
      </c>
      <c r="H19" s="158">
        <f t="shared" si="2"/>
        <v>23322</v>
      </c>
      <c r="I19" s="158">
        <f>ROUND(D19/1000,0)</f>
        <v>5997</v>
      </c>
      <c r="J19" s="419">
        <f t="shared" si="1"/>
        <v>0.2571391818883458</v>
      </c>
    </row>
    <row r="20" spans="1:10" ht="19.5" customHeight="1">
      <c r="A20" s="81" t="s">
        <v>510</v>
      </c>
      <c r="B20" s="416">
        <v>9</v>
      </c>
      <c r="C20" s="417">
        <v>156021</v>
      </c>
      <c r="D20" s="417">
        <v>35663.68</v>
      </c>
      <c r="E20" s="184">
        <f t="shared" si="0"/>
        <v>0.22858256260375207</v>
      </c>
      <c r="F20" s="67" t="s">
        <v>510</v>
      </c>
      <c r="G20" s="418">
        <v>9</v>
      </c>
      <c r="H20" s="158">
        <f t="shared" si="2"/>
        <v>156</v>
      </c>
      <c r="I20" s="158">
        <f t="shared" si="3"/>
        <v>36</v>
      </c>
      <c r="J20" s="419">
        <f t="shared" si="1"/>
        <v>0.23076923076923078</v>
      </c>
    </row>
    <row r="21" spans="1:12" ht="27.75" customHeight="1">
      <c r="A21" s="217" t="s">
        <v>511</v>
      </c>
      <c r="B21" s="416">
        <v>10</v>
      </c>
      <c r="C21" s="417">
        <v>75574914</v>
      </c>
      <c r="D21" s="417">
        <f>11859235.19-74000</f>
        <v>11785235.19</v>
      </c>
      <c r="E21" s="184">
        <f t="shared" si="0"/>
        <v>0.15594109958232966</v>
      </c>
      <c r="F21" s="119" t="s">
        <v>511</v>
      </c>
      <c r="G21" s="418">
        <v>10</v>
      </c>
      <c r="H21" s="158">
        <f t="shared" si="2"/>
        <v>75575</v>
      </c>
      <c r="I21" s="158">
        <f t="shared" si="3"/>
        <v>11785</v>
      </c>
      <c r="J21" s="419">
        <f t="shared" si="1"/>
        <v>0.15593781012239497</v>
      </c>
      <c r="L21" s="420"/>
    </row>
    <row r="22" spans="1:10" ht="25.5" customHeight="1">
      <c r="A22" s="217" t="s">
        <v>512</v>
      </c>
      <c r="B22" s="416">
        <v>11</v>
      </c>
      <c r="C22" s="417">
        <v>827061</v>
      </c>
      <c r="D22" s="417">
        <v>160761.68</v>
      </c>
      <c r="E22" s="184">
        <f t="shared" si="0"/>
        <v>0.1943770532040563</v>
      </c>
      <c r="F22" s="119" t="s">
        <v>512</v>
      </c>
      <c r="G22" s="418">
        <v>11</v>
      </c>
      <c r="H22" s="158">
        <f t="shared" si="2"/>
        <v>827</v>
      </c>
      <c r="I22" s="158">
        <f t="shared" si="3"/>
        <v>161</v>
      </c>
      <c r="J22" s="419">
        <f t="shared" si="1"/>
        <v>0.1946795646916566</v>
      </c>
    </row>
    <row r="23" spans="1:10" ht="19.5" customHeight="1">
      <c r="A23" s="81" t="s">
        <v>513</v>
      </c>
      <c r="B23" s="416">
        <v>12</v>
      </c>
      <c r="C23" s="417">
        <v>13810084</v>
      </c>
      <c r="D23" s="417">
        <v>1671098.64</v>
      </c>
      <c r="E23" s="184">
        <f t="shared" si="0"/>
        <v>0.12100568251431344</v>
      </c>
      <c r="F23" s="67" t="s">
        <v>513</v>
      </c>
      <c r="G23" s="418">
        <v>12</v>
      </c>
      <c r="H23" s="158">
        <f t="shared" si="2"/>
        <v>13810</v>
      </c>
      <c r="I23" s="158">
        <f t="shared" si="3"/>
        <v>1671</v>
      </c>
      <c r="J23" s="419">
        <f t="shared" si="1"/>
        <v>0.12099927588703838</v>
      </c>
    </row>
    <row r="24" spans="1:10" ht="19.5" customHeight="1">
      <c r="A24" s="81" t="s">
        <v>514</v>
      </c>
      <c r="B24" s="416">
        <v>13</v>
      </c>
      <c r="C24" s="417">
        <v>25013391</v>
      </c>
      <c r="D24" s="417">
        <v>5548932.83</v>
      </c>
      <c r="E24" s="184">
        <f t="shared" si="0"/>
        <v>0.22183848763248454</v>
      </c>
      <c r="F24" s="67" t="s">
        <v>514</v>
      </c>
      <c r="G24" s="418">
        <v>13</v>
      </c>
      <c r="H24" s="158">
        <f>ROUND(C24/1000,)+2</f>
        <v>25015</v>
      </c>
      <c r="I24" s="158">
        <f>ROUND(D24/1000,0)</f>
        <v>5549</v>
      </c>
      <c r="J24" s="419">
        <f t="shared" si="1"/>
        <v>0.2218269038576854</v>
      </c>
    </row>
    <row r="25" spans="1:10" ht="24.75" customHeight="1">
      <c r="A25" s="217" t="s">
        <v>515</v>
      </c>
      <c r="B25" s="416">
        <v>14</v>
      </c>
      <c r="C25" s="417">
        <v>141857231</v>
      </c>
      <c r="D25" s="417">
        <f>30434607.73</f>
        <v>30434607.73</v>
      </c>
      <c r="E25" s="184">
        <f t="shared" si="0"/>
        <v>0.21454392924108323</v>
      </c>
      <c r="F25" s="421" t="s">
        <v>516</v>
      </c>
      <c r="G25" s="422">
        <v>14</v>
      </c>
      <c r="H25" s="308">
        <f>ROUND(C25/1000,)</f>
        <v>141857</v>
      </c>
      <c r="I25" s="308">
        <f>ROUND(D25/1000,0)+18457-1</f>
        <v>48891</v>
      </c>
      <c r="J25" s="419">
        <f t="shared" si="1"/>
        <v>0.3446498939072446</v>
      </c>
    </row>
    <row r="26" spans="2:10" ht="12.75">
      <c r="B26" s="36"/>
      <c r="C26" s="30"/>
      <c r="D26" s="30"/>
      <c r="E26" s="194"/>
      <c r="G26" s="36"/>
      <c r="H26" s="30"/>
      <c r="I26" s="30"/>
      <c r="J26" s="194"/>
    </row>
    <row r="27" spans="1:10" ht="12.75">
      <c r="A27" s="44" t="s">
        <v>517</v>
      </c>
      <c r="B27" s="36"/>
      <c r="C27" s="30"/>
      <c r="D27" s="30"/>
      <c r="E27" s="194"/>
      <c r="F27" s="44" t="s">
        <v>517</v>
      </c>
      <c r="G27" s="36"/>
      <c r="H27" s="30"/>
      <c r="I27" s="30"/>
      <c r="J27" s="194"/>
    </row>
    <row r="28" spans="2:10" ht="12.75">
      <c r="B28" s="36"/>
      <c r="C28" s="30"/>
      <c r="D28" s="30"/>
      <c r="E28" s="194"/>
      <c r="G28" s="36"/>
      <c r="H28" s="30"/>
      <c r="I28" s="30"/>
      <c r="J28" s="194"/>
    </row>
    <row r="29" spans="2:10" ht="12.75">
      <c r="B29" s="36"/>
      <c r="C29" s="30"/>
      <c r="D29" s="30"/>
      <c r="E29" s="194"/>
      <c r="G29" s="36"/>
      <c r="H29" s="30"/>
      <c r="I29" s="30"/>
      <c r="J29" s="194"/>
    </row>
    <row r="30" spans="2:10" ht="12.75">
      <c r="B30" s="36"/>
      <c r="C30" s="30"/>
      <c r="D30" s="30"/>
      <c r="E30" s="194"/>
      <c r="G30" s="36"/>
      <c r="H30" s="30"/>
      <c r="I30" s="30"/>
      <c r="J30" s="194"/>
    </row>
    <row r="31" spans="2:10" ht="12.75">
      <c r="B31" s="36"/>
      <c r="C31" s="30"/>
      <c r="D31" s="30"/>
      <c r="E31" s="194"/>
      <c r="I31" s="30"/>
      <c r="J31" s="194"/>
    </row>
    <row r="32" spans="2:10" ht="12.75">
      <c r="B32" s="36"/>
      <c r="C32" s="30"/>
      <c r="D32" s="30"/>
      <c r="E32" s="194"/>
      <c r="G32" s="36"/>
      <c r="H32" s="30"/>
      <c r="I32" s="30"/>
      <c r="J32" s="194"/>
    </row>
    <row r="33" spans="1:10" ht="12.75">
      <c r="A33" s="44" t="s">
        <v>518</v>
      </c>
      <c r="B33" s="36"/>
      <c r="C33" s="30" t="s">
        <v>519</v>
      </c>
      <c r="D33" s="30"/>
      <c r="E33" s="194"/>
      <c r="F33" s="44" t="s">
        <v>520</v>
      </c>
      <c r="G33" s="36"/>
      <c r="H33" s="30" t="s">
        <v>521</v>
      </c>
      <c r="I33" s="30"/>
      <c r="J33" s="194"/>
    </row>
    <row r="34" spans="2:10" ht="12.75">
      <c r="B34" s="36"/>
      <c r="C34" s="30"/>
      <c r="D34" s="30"/>
      <c r="E34" s="194"/>
      <c r="G34" s="36"/>
      <c r="H34" s="30"/>
      <c r="I34" s="30"/>
      <c r="J34" s="194"/>
    </row>
    <row r="35" spans="2:10" ht="12.75">
      <c r="B35" s="36"/>
      <c r="C35" s="30"/>
      <c r="D35" s="30"/>
      <c r="E35" s="194"/>
      <c r="G35" s="36"/>
      <c r="H35" s="30"/>
      <c r="I35" s="30"/>
      <c r="J35" s="194"/>
    </row>
    <row r="36" spans="4:10" ht="12.75">
      <c r="D36" s="30"/>
      <c r="E36" s="194"/>
      <c r="I36" s="30"/>
      <c r="J36" s="194"/>
    </row>
    <row r="37" spans="2:10" ht="12.75">
      <c r="B37" s="36"/>
      <c r="C37" s="30"/>
      <c r="D37" s="30"/>
      <c r="E37" s="194"/>
      <c r="G37" s="36"/>
      <c r="H37" s="30"/>
      <c r="I37" s="30"/>
      <c r="J37" s="194"/>
    </row>
    <row r="38" spans="3:10" ht="12.75">
      <c r="C38" s="30"/>
      <c r="D38" s="30"/>
      <c r="E38" s="194"/>
      <c r="H38" s="30"/>
      <c r="I38" s="30"/>
      <c r="J38" s="194"/>
    </row>
    <row r="39" spans="3:10" ht="12.75">
      <c r="C39" s="30"/>
      <c r="D39" s="30"/>
      <c r="E39" s="194"/>
      <c r="H39" s="30"/>
      <c r="I39" s="30"/>
      <c r="J39" s="194"/>
    </row>
    <row r="40" spans="3:10" ht="12.75">
      <c r="C40" s="30"/>
      <c r="D40" s="30"/>
      <c r="E40" s="194"/>
      <c r="F40" s="44" t="s">
        <v>522</v>
      </c>
      <c r="H40" s="30"/>
      <c r="I40" s="30"/>
      <c r="J40" s="194"/>
    </row>
    <row r="41" spans="3:10" ht="12.75">
      <c r="C41" s="30"/>
      <c r="D41" s="30"/>
      <c r="E41" s="194"/>
      <c r="F41" s="44" t="s">
        <v>101</v>
      </c>
      <c r="H41" s="30"/>
      <c r="I41" s="30"/>
      <c r="J41" s="194"/>
    </row>
    <row r="42" spans="3:10" ht="12.75">
      <c r="C42" s="30"/>
      <c r="D42" s="30"/>
      <c r="E42" s="194"/>
      <c r="H42" s="30"/>
      <c r="I42" s="30"/>
      <c r="J42" s="194"/>
    </row>
    <row r="43" spans="3:10" ht="12.75">
      <c r="C43" s="30"/>
      <c r="D43" s="30"/>
      <c r="E43" s="194"/>
      <c r="H43" s="30"/>
      <c r="I43" s="30"/>
      <c r="J43" s="194"/>
    </row>
    <row r="44" spans="3:10" ht="12.75">
      <c r="C44" s="30"/>
      <c r="D44" s="30"/>
      <c r="E44" s="194"/>
      <c r="H44" s="30"/>
      <c r="I44" s="30"/>
      <c r="J44" s="194"/>
    </row>
    <row r="45" spans="3:10" ht="12.75">
      <c r="C45" s="30"/>
      <c r="D45" s="30"/>
      <c r="E45" s="194"/>
      <c r="H45" s="30"/>
      <c r="I45" s="30"/>
      <c r="J45" s="194"/>
    </row>
    <row r="46" spans="3:10" ht="12.75">
      <c r="C46" s="30"/>
      <c r="D46" s="30"/>
      <c r="E46" s="194"/>
      <c r="H46" s="30"/>
      <c r="I46" s="30"/>
      <c r="J46" s="194"/>
    </row>
    <row r="47" spans="2:9" ht="12.75">
      <c r="B47" s="30"/>
      <c r="C47" s="30"/>
      <c r="D47" s="194"/>
      <c r="G47" s="30"/>
      <c r="H47" s="30"/>
      <c r="I47" s="194"/>
    </row>
    <row r="48" spans="2:9" ht="12.75">
      <c r="B48" s="30"/>
      <c r="C48" s="30"/>
      <c r="D48" s="194"/>
      <c r="G48" s="30"/>
      <c r="H48" s="30"/>
      <c r="I48" s="194"/>
    </row>
    <row r="49" spans="2:9" ht="12.75">
      <c r="B49" s="30"/>
      <c r="C49" s="30"/>
      <c r="D49" s="194"/>
      <c r="G49" s="30"/>
      <c r="H49" s="30"/>
      <c r="I49" s="194"/>
    </row>
    <row r="50" spans="2:9" ht="12.75">
      <c r="B50" s="30"/>
      <c r="C50" s="30"/>
      <c r="D50" s="194"/>
      <c r="G50" s="30"/>
      <c r="H50" s="30"/>
      <c r="I50" s="194"/>
    </row>
    <row r="51" spans="2:9" ht="12.75">
      <c r="B51" s="30"/>
      <c r="C51" s="30"/>
      <c r="D51" s="194"/>
      <c r="G51" s="30"/>
      <c r="H51" s="30"/>
      <c r="I51" s="194"/>
    </row>
    <row r="52" spans="2:9" ht="12.75">
      <c r="B52" s="30"/>
      <c r="C52" s="30"/>
      <c r="D52" s="194"/>
      <c r="G52" s="30"/>
      <c r="H52" s="30"/>
      <c r="I52" s="194"/>
    </row>
    <row r="53" spans="2:9" ht="12.75">
      <c r="B53" s="30"/>
      <c r="D53" s="194"/>
      <c r="G53" s="30"/>
      <c r="I53" s="194"/>
    </row>
    <row r="54" spans="2:9" ht="12.75">
      <c r="B54" s="30"/>
      <c r="D54" s="194"/>
      <c r="G54" s="30"/>
      <c r="I54" s="194"/>
    </row>
    <row r="55" spans="2:9" ht="12.75">
      <c r="B55" s="30"/>
      <c r="D55" s="194"/>
      <c r="G55" s="30"/>
      <c r="I55" s="194"/>
    </row>
    <row r="56" spans="2:9" ht="12.75">
      <c r="B56" s="30"/>
      <c r="D56" s="194"/>
      <c r="G56" s="30"/>
      <c r="I56" s="194"/>
    </row>
    <row r="57" spans="2:9" ht="12.75">
      <c r="B57" s="30"/>
      <c r="D57" s="194"/>
      <c r="G57" s="30"/>
      <c r="I57" s="194"/>
    </row>
    <row r="58" spans="2:9" ht="12.75">
      <c r="B58" s="30"/>
      <c r="D58" s="194"/>
      <c r="G58" s="30"/>
      <c r="I58" s="194"/>
    </row>
    <row r="59" spans="2:9" ht="12.75">
      <c r="B59" s="30"/>
      <c r="D59" s="194"/>
      <c r="G59" s="30"/>
      <c r="I59" s="194"/>
    </row>
    <row r="60" spans="2:9" ht="12.75">
      <c r="B60" s="30"/>
      <c r="D60" s="194"/>
      <c r="G60" s="30"/>
      <c r="I60" s="194"/>
    </row>
    <row r="61" spans="2:9" ht="12.75">
      <c r="B61" s="30"/>
      <c r="D61" s="194"/>
      <c r="G61" s="30"/>
      <c r="I61" s="194"/>
    </row>
    <row r="62" spans="2:9" ht="12.75">
      <c r="B62" s="30"/>
      <c r="D62" s="194"/>
      <c r="G62" s="30"/>
      <c r="I62" s="194"/>
    </row>
    <row r="63" spans="2:9" ht="12.75">
      <c r="B63" s="30"/>
      <c r="D63" s="194"/>
      <c r="G63" s="30"/>
      <c r="I63" s="194"/>
    </row>
    <row r="64" spans="2:9" ht="12.75">
      <c r="B64" s="30"/>
      <c r="D64" s="194"/>
      <c r="G64" s="30"/>
      <c r="I64" s="194"/>
    </row>
    <row r="65" spans="2:9" ht="12.75">
      <c r="B65" s="30"/>
      <c r="D65" s="194"/>
      <c r="G65" s="30"/>
      <c r="I65" s="194"/>
    </row>
    <row r="66" spans="2:9" ht="12.75">
      <c r="B66" s="30"/>
      <c r="D66" s="194"/>
      <c r="G66" s="30"/>
      <c r="I66" s="194"/>
    </row>
    <row r="67" spans="2:9" ht="12.75">
      <c r="B67" s="30"/>
      <c r="D67" s="194"/>
      <c r="G67" s="30"/>
      <c r="I67" s="194"/>
    </row>
    <row r="68" spans="2:9" ht="12.75">
      <c r="B68" s="30"/>
      <c r="D68" s="194"/>
      <c r="G68" s="30"/>
      <c r="I68" s="194"/>
    </row>
    <row r="69" spans="2:9" ht="12.75">
      <c r="B69" s="30"/>
      <c r="D69" s="194"/>
      <c r="G69" s="30"/>
      <c r="I69" s="194"/>
    </row>
    <row r="70" spans="2:9" ht="12.75">
      <c r="B70" s="30"/>
      <c r="D70" s="194"/>
      <c r="G70" s="30"/>
      <c r="I70" s="194"/>
    </row>
    <row r="71" spans="2:9" ht="12.75">
      <c r="B71" s="30"/>
      <c r="D71" s="194"/>
      <c r="G71" s="30"/>
      <c r="I71" s="194"/>
    </row>
    <row r="72" spans="2:9" ht="12.75">
      <c r="B72" s="30"/>
      <c r="D72" s="194"/>
      <c r="G72" s="30"/>
      <c r="I72" s="194"/>
    </row>
    <row r="73" spans="2:9" ht="12.75">
      <c r="B73" s="30"/>
      <c r="D73" s="194"/>
      <c r="G73" s="30"/>
      <c r="I73" s="194"/>
    </row>
    <row r="74" spans="2:9" ht="12.75">
      <c r="B74" s="30"/>
      <c r="D74" s="194"/>
      <c r="G74" s="30"/>
      <c r="I74" s="194"/>
    </row>
    <row r="75" spans="2:9" ht="12.75">
      <c r="B75" s="30"/>
      <c r="D75" s="194"/>
      <c r="G75" s="30"/>
      <c r="I75" s="194"/>
    </row>
    <row r="76" spans="2:9" ht="12.75">
      <c r="B76" s="30"/>
      <c r="D76" s="194"/>
      <c r="G76" s="30"/>
      <c r="I76" s="194"/>
    </row>
    <row r="77" spans="2:9" ht="12.75">
      <c r="B77" s="30"/>
      <c r="D77" s="194"/>
      <c r="G77" s="30"/>
      <c r="I77" s="194"/>
    </row>
    <row r="78" spans="2:9" ht="12.75">
      <c r="B78" s="30"/>
      <c r="D78" s="194"/>
      <c r="G78" s="30"/>
      <c r="I78" s="194"/>
    </row>
    <row r="79" spans="2:9" ht="12.75">
      <c r="B79" s="30"/>
      <c r="D79" s="194"/>
      <c r="G79" s="30"/>
      <c r="I79" s="194"/>
    </row>
    <row r="80" spans="2:9" ht="12.75">
      <c r="B80" s="30"/>
      <c r="D80" s="194"/>
      <c r="G80" s="30"/>
      <c r="I80" s="194"/>
    </row>
    <row r="81" spans="2:9" ht="12.75">
      <c r="B81" s="30"/>
      <c r="D81" s="194"/>
      <c r="G81" s="30"/>
      <c r="I81" s="194"/>
    </row>
    <row r="82" spans="2:9" ht="12.75">
      <c r="B82" s="30"/>
      <c r="D82" s="194"/>
      <c r="G82" s="30"/>
      <c r="I82" s="194"/>
    </row>
    <row r="83" spans="2:9" ht="12.75">
      <c r="B83" s="30"/>
      <c r="D83" s="194"/>
      <c r="G83" s="30"/>
      <c r="I83" s="194"/>
    </row>
    <row r="84" spans="2:9" ht="12.75">
      <c r="B84" s="30"/>
      <c r="D84" s="194"/>
      <c r="G84" s="30"/>
      <c r="I84" s="194"/>
    </row>
    <row r="85" spans="2:9" ht="12.75">
      <c r="B85" s="30"/>
      <c r="D85" s="194"/>
      <c r="G85" s="30"/>
      <c r="I85" s="194"/>
    </row>
    <row r="86" spans="2:9" ht="12.75">
      <c r="B86" s="30"/>
      <c r="D86" s="194"/>
      <c r="G86" s="30"/>
      <c r="I86" s="194"/>
    </row>
    <row r="87" spans="2:9" ht="12.75">
      <c r="B87" s="30"/>
      <c r="D87" s="194"/>
      <c r="G87" s="30"/>
      <c r="I87" s="194"/>
    </row>
    <row r="88" spans="2:9" ht="12.75">
      <c r="B88" s="30"/>
      <c r="D88" s="194"/>
      <c r="G88" s="30"/>
      <c r="I88" s="194"/>
    </row>
    <row r="89" spans="2:9" ht="12.75">
      <c r="B89" s="30"/>
      <c r="D89" s="194"/>
      <c r="G89" s="30"/>
      <c r="I89" s="194"/>
    </row>
    <row r="90" spans="2:9" ht="12.75">
      <c r="B90" s="30"/>
      <c r="D90" s="194"/>
      <c r="G90" s="30"/>
      <c r="I90" s="194"/>
    </row>
    <row r="91" spans="2:9" ht="12.75">
      <c r="B91" s="30"/>
      <c r="D91" s="194"/>
      <c r="G91" s="30"/>
      <c r="I91" s="194"/>
    </row>
    <row r="92" spans="2:9" ht="12.75">
      <c r="B92" s="30"/>
      <c r="D92" s="194"/>
      <c r="G92" s="30"/>
      <c r="I92" s="194"/>
    </row>
    <row r="93" spans="2:9" ht="12.75">
      <c r="B93" s="30"/>
      <c r="D93" s="194"/>
      <c r="G93" s="30"/>
      <c r="I93" s="194"/>
    </row>
    <row r="94" spans="2:9" ht="12.75">
      <c r="B94" s="30"/>
      <c r="D94" s="194"/>
      <c r="G94" s="30"/>
      <c r="I94" s="194"/>
    </row>
    <row r="95" spans="2:9" ht="12.75">
      <c r="B95" s="30"/>
      <c r="D95" s="194"/>
      <c r="G95" s="30"/>
      <c r="I95" s="194"/>
    </row>
    <row r="96" spans="2:9" ht="12.75">
      <c r="B96" s="30"/>
      <c r="D96" s="194"/>
      <c r="G96" s="30"/>
      <c r="I96" s="194"/>
    </row>
    <row r="97" spans="2:9" ht="12.75">
      <c r="B97" s="30"/>
      <c r="D97" s="194"/>
      <c r="G97" s="30"/>
      <c r="I97" s="194"/>
    </row>
    <row r="98" spans="2:9" ht="12.75">
      <c r="B98" s="30"/>
      <c r="D98" s="194"/>
      <c r="G98" s="30"/>
      <c r="I98" s="194"/>
    </row>
    <row r="99" spans="2:9" ht="12.75">
      <c r="B99" s="30"/>
      <c r="D99" s="194"/>
      <c r="G99" s="30"/>
      <c r="I99" s="194"/>
    </row>
    <row r="100" spans="2:7" ht="12.75">
      <c r="B100" s="30"/>
      <c r="G100" s="30"/>
    </row>
    <row r="101" spans="2:7" ht="12.75">
      <c r="B101" s="30"/>
      <c r="G101" s="30"/>
    </row>
    <row r="102" spans="2:7" ht="12.75">
      <c r="B102" s="30"/>
      <c r="G102" s="30"/>
    </row>
    <row r="103" spans="2:7" ht="12.75">
      <c r="B103" s="30"/>
      <c r="G103" s="30"/>
    </row>
    <row r="104" spans="2:7" ht="12.75">
      <c r="B104" s="30"/>
      <c r="G104" s="30"/>
    </row>
    <row r="105" spans="2:7" ht="12.75">
      <c r="B105" s="30"/>
      <c r="G105" s="30"/>
    </row>
    <row r="106" spans="2:7" ht="12.75">
      <c r="B106" s="30"/>
      <c r="G106" s="30"/>
    </row>
    <row r="107" spans="2:7" ht="12.75">
      <c r="B107" s="30"/>
      <c r="G107" s="30"/>
    </row>
    <row r="108" spans="2:7" ht="12.75">
      <c r="B108" s="30"/>
      <c r="G108" s="30"/>
    </row>
  </sheetData>
  <mergeCells count="5">
    <mergeCell ref="F5:I5"/>
    <mergeCell ref="A2:C2"/>
    <mergeCell ref="F2:I2"/>
    <mergeCell ref="A4:D4"/>
    <mergeCell ref="F4:J4"/>
  </mergeCells>
  <printOptions/>
  <pageMargins left="0.92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VinetaP</cp:lastModifiedBy>
  <cp:lastPrinted>2000-04-17T11:29:46Z</cp:lastPrinted>
  <dcterms:created xsi:type="dcterms:W3CDTF">2000-04-17T07:37:16Z</dcterms:created>
  <dcterms:modified xsi:type="dcterms:W3CDTF">2002-12-03T07:12:16Z</dcterms:modified>
  <cp:category/>
  <cp:version/>
  <cp:contentType/>
  <cp:contentStatus/>
</cp:coreProperties>
</file>